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615" windowHeight="13125" activeTab="0"/>
  </bookViews>
  <sheets>
    <sheet name="Übersicht" sheetId="1" r:id="rId1"/>
  </sheets>
  <definedNames>
    <definedName name="_xlnm.Print_Area" localSheetId="0">'Übersicht'!$A$1:$CH$45</definedName>
  </definedNames>
  <calcPr fullCalcOnLoad="1"/>
</workbook>
</file>

<file path=xl/sharedStrings.xml><?xml version="1.0" encoding="utf-8"?>
<sst xmlns="http://schemas.openxmlformats.org/spreadsheetml/2006/main" count="161" uniqueCount="117">
  <si>
    <t>Tag</t>
  </si>
  <si>
    <t>1. Dekade</t>
  </si>
  <si>
    <t>2. Dekade</t>
  </si>
  <si>
    <t>3.Dekade</t>
  </si>
  <si>
    <t>Monat</t>
  </si>
  <si>
    <t>Mittel</t>
  </si>
  <si>
    <t>Max</t>
  </si>
  <si>
    <t>Min</t>
  </si>
  <si>
    <t>Ampli-</t>
  </si>
  <si>
    <t>tude</t>
  </si>
  <si>
    <t>Böe</t>
  </si>
  <si>
    <t>Wind</t>
  </si>
  <si>
    <t>Rate</t>
  </si>
  <si>
    <t>UV-Index</t>
  </si>
  <si>
    <t>Wind-</t>
  </si>
  <si>
    <t>chill</t>
  </si>
  <si>
    <t>Durchschnitte:</t>
  </si>
  <si>
    <t>Maximum:</t>
  </si>
  <si>
    <t>Minimum:</t>
  </si>
  <si>
    <t>Total:</t>
  </si>
  <si>
    <t>Abweichung der Norm:</t>
  </si>
  <si>
    <t>Temperatur-Tage:</t>
  </si>
  <si>
    <t>Abweichung</t>
  </si>
  <si>
    <t>Temperatur Maximum</t>
  </si>
  <si>
    <t>Temperatur Minimum</t>
  </si>
  <si>
    <t>Windchill Minimum</t>
  </si>
  <si>
    <t>Temperatur Mittel</t>
  </si>
  <si>
    <t>Feuchte Maximum</t>
  </si>
  <si>
    <t>Feuchte Minimum</t>
  </si>
  <si>
    <t>Feuchte Mittel</t>
  </si>
  <si>
    <t>Windböe Maximum</t>
  </si>
  <si>
    <t>Windböemaximum-Tage:</t>
  </si>
  <si>
    <t>Wind Maximum</t>
  </si>
  <si>
    <t>&gt;7 Beaufort</t>
  </si>
  <si>
    <t>Windböe Mittel</t>
  </si>
  <si>
    <t>7 Beaufort</t>
  </si>
  <si>
    <t>Wind Mittel</t>
  </si>
  <si>
    <t>6 Beaufort</t>
  </si>
  <si>
    <t>5 Beaufort</t>
  </si>
  <si>
    <t>Luftdruck Maximum</t>
  </si>
  <si>
    <t>4 Beaufort</t>
  </si>
  <si>
    <t>Luftdruck Minimum</t>
  </si>
  <si>
    <t>3 Beaufort</t>
  </si>
  <si>
    <t>Luftdruck Mittel</t>
  </si>
  <si>
    <t>&lt;3 Beaufort</t>
  </si>
  <si>
    <t>Niederschlag Tag</t>
  </si>
  <si>
    <t>Tage &gt;0,9mm</t>
  </si>
  <si>
    <t>Schnee-Tage:</t>
  </si>
  <si>
    <t>Niederschlag im Monat</t>
  </si>
  <si>
    <t>Niederschlagsrate Max.</t>
  </si>
  <si>
    <t>Sonnenscheindauer</t>
  </si>
  <si>
    <t>Solar Maximum</t>
  </si>
  <si>
    <t>Solar Mittel</t>
  </si>
  <si>
    <t>UV-Index Maximum</t>
  </si>
  <si>
    <t>UV-Index Mittel</t>
  </si>
  <si>
    <t>sehr kalte Tage</t>
  </si>
  <si>
    <t>Eistage</t>
  </si>
  <si>
    <t>Frosttage</t>
  </si>
  <si>
    <t>kalte Tage</t>
  </si>
  <si>
    <t>warme Tage</t>
  </si>
  <si>
    <t>Sommertage</t>
  </si>
  <si>
    <t>Hitzetage</t>
  </si>
  <si>
    <r>
      <t>Wetterstation Oberthal</t>
    </r>
    <r>
      <rPr>
        <sz val="9"/>
        <rFont val="Arial"/>
        <family val="2"/>
      </rPr>
      <t xml:space="preserve"> (850m.ü.M.)</t>
    </r>
  </si>
  <si>
    <r>
      <t>Lufttemperatur</t>
    </r>
    <r>
      <rPr>
        <sz val="9"/>
        <rFont val="Arial"/>
        <family val="0"/>
      </rPr>
      <t xml:space="preserve"> in °C</t>
    </r>
  </si>
  <si>
    <r>
      <t>Luftfeuchtigkeit</t>
    </r>
    <r>
      <rPr>
        <sz val="9"/>
        <rFont val="Arial"/>
        <family val="0"/>
      </rPr>
      <t xml:space="preserve"> in %</t>
    </r>
  </si>
  <si>
    <r>
      <t>Windgeschwindigkeit</t>
    </r>
    <r>
      <rPr>
        <sz val="9"/>
        <rFont val="Arial"/>
        <family val="0"/>
      </rPr>
      <t xml:space="preserve"> in km/h</t>
    </r>
  </si>
  <si>
    <r>
      <t>Luftdruck</t>
    </r>
    <r>
      <rPr>
        <sz val="9"/>
        <rFont val="Arial"/>
        <family val="0"/>
      </rPr>
      <t xml:space="preserve"> in hPa</t>
    </r>
  </si>
  <si>
    <r>
      <t xml:space="preserve">Niederschlag </t>
    </r>
    <r>
      <rPr>
        <sz val="9"/>
        <rFont val="Arial"/>
        <family val="0"/>
      </rPr>
      <t>in mm</t>
    </r>
  </si>
  <si>
    <r>
      <t>Sdauer</t>
    </r>
    <r>
      <rPr>
        <sz val="9"/>
        <rFont val="Arial"/>
        <family val="0"/>
      </rPr>
      <t xml:space="preserve"> h:min</t>
    </r>
  </si>
  <si>
    <r>
      <t>Solar</t>
    </r>
    <r>
      <rPr>
        <sz val="9"/>
        <rFont val="Arial"/>
        <family val="0"/>
      </rPr>
      <t xml:space="preserve"> in W/m2</t>
    </r>
  </si>
  <si>
    <t>Neuschnee</t>
  </si>
  <si>
    <t>18Z</t>
  </si>
  <si>
    <t>06Z</t>
  </si>
  <si>
    <t>12h</t>
  </si>
  <si>
    <t>24h</t>
  </si>
  <si>
    <r>
      <t>Schneehöhe</t>
    </r>
    <r>
      <rPr>
        <sz val="9"/>
        <rFont val="Arial"/>
        <family val="2"/>
      </rPr>
      <t xml:space="preserve"> in cm</t>
    </r>
  </si>
  <si>
    <t>Total</t>
  </si>
  <si>
    <t>Neuschnee 12h 18Z</t>
  </si>
  <si>
    <t>Neuschnee 24h 06Z</t>
  </si>
  <si>
    <t>Schneehöhe Total</t>
  </si>
  <si>
    <t>Monatsdiagramm Juli 2009</t>
  </si>
  <si>
    <t>Tropennächte</t>
  </si>
  <si>
    <r>
      <t>23</t>
    </r>
    <r>
      <rPr>
        <sz val="9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</si>
  <si>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>Hagel bis 4cm Korndurchmesser, Mittel ca. 2cm. -&gt; Superzelle -&gt; Unwetter. Anemometerschalenkreuz abgehagelt.</t>
    </r>
  </si>
  <si>
    <t>*</t>
  </si>
  <si>
    <t>*Achtung: Windmesser von 24. bis 29. Juli 2009 defekt infolge Hagelschlag!</t>
  </si>
  <si>
    <t>184h 08min</t>
  </si>
  <si>
    <t>-48h 52min</t>
  </si>
  <si>
    <t>+/-0</t>
  </si>
  <si>
    <t>16 statt 11</t>
  </si>
  <si>
    <t>Tmin &lt;= -10°C</t>
  </si>
  <si>
    <t>Tmax &lt;= 0°C</t>
  </si>
  <si>
    <t>Tmin &lt; 0°C</t>
  </si>
  <si>
    <t>Tmax &lt; 10°C</t>
  </si>
  <si>
    <t>Tmax &gt;= 20°C</t>
  </si>
  <si>
    <t>Tmax &gt;= 25°C</t>
  </si>
  <si>
    <t>Tmax &gt;= 30°C</t>
  </si>
  <si>
    <t>Tmin &gt;= 20°C</t>
  </si>
  <si>
    <t>&gt; 0cm</t>
  </si>
  <si>
    <t>&gt;= 1cm</t>
  </si>
  <si>
    <t>&gt;= 5cm</t>
  </si>
  <si>
    <t>&gt;= 10cm</t>
  </si>
  <si>
    <t>&gt;= 15cm</t>
  </si>
  <si>
    <t>&gt;= 20cm</t>
  </si>
  <si>
    <t>&gt;= 30cm</t>
  </si>
  <si>
    <t>&gt;= 40cm</t>
  </si>
  <si>
    <t>&gt;= 50cm</t>
  </si>
  <si>
    <t>&gt;= 75cm</t>
  </si>
  <si>
    <t>&gt;= 100cm</t>
  </si>
  <si>
    <t>-0.99 °C</t>
  </si>
  <si>
    <t>+0.62 °C</t>
  </si>
  <si>
    <t>-0.16 °C</t>
  </si>
  <si>
    <t>+7.61 %</t>
  </si>
  <si>
    <t>-1.26 km/h</t>
  </si>
  <si>
    <t>+21 mm</t>
  </si>
  <si>
    <t>-4.1</t>
  </si>
  <si>
    <t>-1.5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</si>
</sst>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7]dddd\,\ d\.\ mmmm\ yyyy"/>
    <numFmt numFmtId="173" formatCode="dd/mm/yyyy;@"/>
    <numFmt numFmtId="174" formatCode="[$-807]d/\ mmmm\ yyyy;@"/>
    <numFmt numFmtId="175" formatCode="0.0"/>
  </numFmts>
  <fonts count="17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color indexed="8"/>
      <name val="Arial"/>
      <family val="0"/>
    </font>
    <font>
      <sz val="9"/>
      <color indexed="10"/>
      <name val="Arial"/>
      <family val="2"/>
    </font>
    <font>
      <sz val="10"/>
      <color indexed="10"/>
      <name val="Arial"/>
      <family val="0"/>
    </font>
    <font>
      <sz val="9"/>
      <color indexed="12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3" fillId="3" borderId="0" xfId="0" applyNumberFormat="1" applyFont="1" applyFill="1" applyAlignment="1">
      <alignment/>
    </xf>
    <xf numFmtId="0" fontId="3" fillId="9" borderId="0" xfId="0" applyFont="1" applyFill="1" applyAlignment="1">
      <alignment/>
    </xf>
    <xf numFmtId="0" fontId="3" fillId="1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11" borderId="0" xfId="0" applyFont="1" applyFill="1" applyAlignment="1">
      <alignment/>
    </xf>
    <xf numFmtId="0" fontId="3" fillId="11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20" fontId="3" fillId="2" borderId="0" xfId="0" applyNumberFormat="1" applyFont="1" applyFill="1" applyAlignment="1">
      <alignment/>
    </xf>
    <xf numFmtId="20" fontId="3" fillId="3" borderId="0" xfId="0" applyNumberFormat="1" applyFont="1" applyFill="1" applyAlignment="1">
      <alignment/>
    </xf>
    <xf numFmtId="0" fontId="3" fillId="12" borderId="0" xfId="0" applyFont="1" applyFill="1" applyAlignment="1">
      <alignment/>
    </xf>
    <xf numFmtId="20" fontId="3" fillId="4" borderId="0" xfId="0" applyNumberFormat="1" applyFont="1" applyFill="1" applyAlignment="1">
      <alignment horizontal="right"/>
    </xf>
    <xf numFmtId="0" fontId="3" fillId="13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17" fontId="4" fillId="0" borderId="3" xfId="0" applyNumberFormat="1" applyFont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20" fontId="3" fillId="4" borderId="9" xfId="0" applyNumberFormat="1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20" fontId="3" fillId="16" borderId="9" xfId="0" applyNumberFormat="1" applyFont="1" applyFill="1" applyBorder="1" applyAlignment="1">
      <alignment horizontal="center"/>
    </xf>
    <xf numFmtId="0" fontId="3" fillId="14" borderId="0" xfId="0" applyFont="1" applyFill="1" applyAlignment="1">
      <alignment/>
    </xf>
    <xf numFmtId="0" fontId="3" fillId="14" borderId="4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20" fontId="3" fillId="14" borderId="6" xfId="0" applyNumberFormat="1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20" fontId="3" fillId="14" borderId="5" xfId="0" applyNumberFormat="1" applyFont="1" applyFill="1" applyBorder="1" applyAlignment="1">
      <alignment horizontal="center"/>
    </xf>
    <xf numFmtId="175" fontId="3" fillId="4" borderId="10" xfId="0" applyNumberFormat="1" applyFont="1" applyFill="1" applyBorder="1" applyAlignment="1">
      <alignment horizontal="center"/>
    </xf>
    <xf numFmtId="175" fontId="3" fillId="4" borderId="11" xfId="0" applyNumberFormat="1" applyFont="1" applyFill="1" applyBorder="1" applyAlignment="1">
      <alignment horizontal="center"/>
    </xf>
    <xf numFmtId="175" fontId="3" fillId="4" borderId="8" xfId="0" applyNumberFormat="1" applyFont="1" applyFill="1" applyBorder="1" applyAlignment="1">
      <alignment horizontal="center"/>
    </xf>
    <xf numFmtId="175" fontId="3" fillId="16" borderId="10" xfId="0" applyNumberFormat="1" applyFont="1" applyFill="1" applyBorder="1" applyAlignment="1">
      <alignment horizontal="center"/>
    </xf>
    <xf numFmtId="175" fontId="3" fillId="16" borderId="8" xfId="0" applyNumberFormat="1" applyFont="1" applyFill="1" applyBorder="1" applyAlignment="1">
      <alignment horizontal="center"/>
    </xf>
    <xf numFmtId="175" fontId="3" fillId="16" borderId="11" xfId="0" applyNumberFormat="1" applyFont="1" applyFill="1" applyBorder="1" applyAlignment="1">
      <alignment horizontal="center"/>
    </xf>
    <xf numFmtId="175" fontId="5" fillId="5" borderId="1" xfId="0" applyNumberFormat="1" applyFont="1" applyFill="1" applyBorder="1" applyAlignment="1">
      <alignment horizontal="center"/>
    </xf>
    <xf numFmtId="175" fontId="5" fillId="5" borderId="0" xfId="0" applyNumberFormat="1" applyFont="1" applyFill="1" applyBorder="1" applyAlignment="1">
      <alignment horizontal="center"/>
    </xf>
    <xf numFmtId="175" fontId="3" fillId="14" borderId="1" xfId="0" applyNumberFormat="1" applyFont="1" applyFill="1" applyBorder="1" applyAlignment="1">
      <alignment horizontal="center"/>
    </xf>
    <xf numFmtId="175" fontId="3" fillId="14" borderId="0" xfId="0" applyNumberFormat="1" applyFont="1" applyFill="1" applyBorder="1" applyAlignment="1">
      <alignment horizontal="center"/>
    </xf>
    <xf numFmtId="175" fontId="3" fillId="14" borderId="4" xfId="0" applyNumberFormat="1" applyFont="1" applyFill="1" applyBorder="1" applyAlignment="1">
      <alignment horizontal="center"/>
    </xf>
    <xf numFmtId="175" fontId="3" fillId="14" borderId="5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20" fontId="3" fillId="16" borderId="10" xfId="0" applyNumberFormat="1" applyFont="1" applyFill="1" applyBorder="1" applyAlignment="1">
      <alignment horizontal="center"/>
    </xf>
    <xf numFmtId="20" fontId="5" fillId="5" borderId="0" xfId="0" applyNumberFormat="1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175" fontId="3" fillId="14" borderId="2" xfId="0" applyNumberFormat="1" applyFont="1" applyFill="1" applyBorder="1" applyAlignment="1">
      <alignment horizontal="center"/>
    </xf>
    <xf numFmtId="175" fontId="5" fillId="5" borderId="12" xfId="0" applyNumberFormat="1" applyFont="1" applyFill="1" applyBorder="1" applyAlignment="1">
      <alignment horizontal="center"/>
    </xf>
    <xf numFmtId="16" fontId="4" fillId="6" borderId="0" xfId="0" applyNumberFormat="1" applyFont="1" applyFill="1" applyAlignment="1">
      <alignment/>
    </xf>
    <xf numFmtId="2" fontId="3" fillId="6" borderId="0" xfId="0" applyNumberFormat="1" applyFont="1" applyFill="1" applyAlignment="1">
      <alignment/>
    </xf>
    <xf numFmtId="20" fontId="3" fillId="6" borderId="0" xfId="0" applyNumberFormat="1" applyFont="1" applyFill="1" applyAlignment="1">
      <alignment/>
    </xf>
    <xf numFmtId="175" fontId="3" fillId="16" borderId="5" xfId="0" applyNumberFormat="1" applyFont="1" applyFill="1" applyBorder="1" applyAlignment="1">
      <alignment horizontal="center"/>
    </xf>
    <xf numFmtId="175" fontId="3" fillId="16" borderId="2" xfId="0" applyNumberFormat="1" applyFont="1" applyFill="1" applyBorder="1" applyAlignment="1">
      <alignment horizontal="center"/>
    </xf>
    <xf numFmtId="175" fontId="5" fillId="4" borderId="0" xfId="0" applyNumberFormat="1" applyFont="1" applyFill="1" applyBorder="1" applyAlignment="1">
      <alignment horizontal="right"/>
    </xf>
    <xf numFmtId="1" fontId="3" fillId="4" borderId="10" xfId="0" applyNumberFormat="1" applyFont="1" applyFill="1" applyBorder="1" applyAlignment="1">
      <alignment horizontal="center"/>
    </xf>
    <xf numFmtId="1" fontId="3" fillId="16" borderId="10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/>
    </xf>
    <xf numFmtId="0" fontId="10" fillId="14" borderId="0" xfId="0" applyFont="1" applyFill="1" applyBorder="1" applyAlignment="1">
      <alignment horizontal="center"/>
    </xf>
    <xf numFmtId="0" fontId="10" fillId="14" borderId="4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17" borderId="0" xfId="0" applyFont="1" applyFill="1" applyAlignment="1">
      <alignment/>
    </xf>
    <xf numFmtId="0" fontId="6" fillId="17" borderId="0" xfId="0" applyFont="1" applyFill="1" applyAlignment="1" quotePrefix="1">
      <alignment/>
    </xf>
    <xf numFmtId="0" fontId="16" fillId="17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19" borderId="0" xfId="0" applyFont="1" applyFill="1" applyAlignment="1">
      <alignment/>
    </xf>
    <xf numFmtId="0" fontId="3" fillId="20" borderId="0" xfId="0" applyFont="1" applyFill="1" applyAlignment="1">
      <alignment/>
    </xf>
    <xf numFmtId="0" fontId="3" fillId="21" borderId="0" xfId="0" applyFont="1" applyFill="1" applyAlignment="1">
      <alignment/>
    </xf>
    <xf numFmtId="0" fontId="6" fillId="22" borderId="0" xfId="0" applyFont="1" applyFill="1" applyAlignment="1">
      <alignment/>
    </xf>
    <xf numFmtId="0" fontId="11" fillId="0" borderId="0" xfId="0" applyFont="1" applyAlignment="1">
      <alignment horizontal="left"/>
    </xf>
    <xf numFmtId="0" fontId="3" fillId="13" borderId="1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(Übersicht!$B$10:$B$19,Übersicht!$B$21:$B$30,Übersicht!$B$32:$B$42)</c:f>
              <c:numCache/>
            </c:numRef>
          </c:val>
          <c:smooth val="0"/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(Übersicht!$C$10:$C$19,Übersicht!$C$21:$C$30,Übersicht!$C$32:$C$42)</c:f>
              <c:numCache/>
            </c:numRef>
          </c:val>
          <c:smooth val="0"/>
        </c:ser>
        <c:ser>
          <c:idx val="2"/>
          <c:order val="2"/>
          <c:tx>
            <c:v>Windchill 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(Übersicht!$D$10:$D$19,Übersicht!$D$21:$D$30,Übersicht!$D$32:$D$42)</c:f>
              <c:numCache/>
            </c:numRef>
          </c:val>
          <c:smooth val="0"/>
        </c:ser>
        <c:ser>
          <c:idx val="3"/>
          <c:order val="3"/>
          <c:tx>
            <c:v>Temperatur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(Übersicht!$F$10:$F$19,Übersicht!$F$21:$F$30,Übersicht!$F$32:$F$42)</c:f>
              <c:numCache/>
            </c:numRef>
          </c:val>
          <c:smooth val="0"/>
        </c:ser>
        <c:marker val="1"/>
        <c:axId val="35441564"/>
        <c:axId val="50538621"/>
      </c:lineChart>
      <c:catAx>
        <c:axId val="3544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38621"/>
        <c:crosses val="autoZero"/>
        <c:auto val="1"/>
        <c:lblOffset val="100"/>
        <c:noMultiLvlLbl val="0"/>
      </c:catAx>
      <c:valAx>
        <c:axId val="5053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415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Luftfeuchtigkeit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Feuchte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(Übersicht!$G$10:$G$19,Übersicht!$G$21:$G$30,Übersicht!$G$32:$G$42)</c:f>
              <c:numCache/>
            </c:numRef>
          </c:val>
          <c:smooth val="0"/>
        </c:ser>
        <c:ser>
          <c:idx val="1"/>
          <c:order val="1"/>
          <c:tx>
            <c:v>Feuchte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(Übersicht!$H$10:$H$19,Übersicht!$H$21:$H$30,Übersicht!$H$32:$H$42)</c:f>
              <c:numCache/>
            </c:numRef>
          </c:val>
          <c:smooth val="0"/>
        </c:ser>
        <c:ser>
          <c:idx val="2"/>
          <c:order val="2"/>
          <c:tx>
            <c:v>Feuchte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(Übersicht!$I$10:$I$19,Übersicht!$I$21:$I$30,Übersicht!$I$32:$I$42)</c:f>
              <c:numCache/>
            </c:numRef>
          </c:val>
          <c:smooth val="0"/>
        </c:ser>
        <c:marker val="1"/>
        <c:axId val="52194406"/>
        <c:axId val="67096471"/>
      </c:lineChart>
      <c:catAx>
        <c:axId val="5219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96471"/>
        <c:crosses val="autoZero"/>
        <c:auto val="1"/>
        <c:lblOffset val="100"/>
        <c:noMultiLvlLbl val="0"/>
      </c:catAx>
      <c:valAx>
        <c:axId val="6709647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9440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Windgeschwindigkeit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(Übersicht!$A$10:$A$19,Übersicht!$A$21:$A$30,Übersicht!$A$32:$A$33,Übersicht!$A$34,Übersicht!$A$41:$A$42)</c:f>
              <c:strCache/>
            </c:strRef>
          </c:cat>
          <c:val>
            <c:numRef>
              <c:f>(Übersicht!$J$10:$J$19,Übersicht!$J$21:$J$30,Übersicht!$J$32:$J$34,Übersicht!$J$41:$J$42)</c:f>
              <c:numCache/>
            </c:numRef>
          </c:val>
          <c:smooth val="0"/>
        </c:ser>
        <c:ser>
          <c:idx val="1"/>
          <c:order val="1"/>
          <c:tx>
            <c:v>Wind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(Übersicht!$A$10:$A$19,Übersicht!$A$21:$A$30,Übersicht!$A$32:$A$33,Übersicht!$A$34,Übersicht!$A$41:$A$42)</c:f>
              <c:strCache/>
            </c:strRef>
          </c:cat>
          <c:val>
            <c:numRef>
              <c:f>(Übersicht!$K$10:$K$19,Übersicht!$K$21:$K$30,Übersicht!$K$32:$K$34,Übersicht!$K$41:$K$42)</c:f>
              <c:numCache/>
            </c:numRef>
          </c:val>
          <c:smooth val="0"/>
        </c:ser>
        <c:ser>
          <c:idx val="2"/>
          <c:order val="2"/>
          <c:tx>
            <c:v>Windböe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(Übersicht!$A$10:$A$19,Übersicht!$A$21:$A$30,Übersicht!$A$32:$A$33,Übersicht!$A$34,Übersicht!$A$41:$A$42)</c:f>
              <c:strCache/>
            </c:strRef>
          </c:cat>
          <c:val>
            <c:numRef>
              <c:f>(Übersicht!$L$10:$L$19,Übersicht!$L$21:$L$30,Übersicht!$L$32:$L$34,Übersicht!$L$41:$L$42)</c:f>
              <c:numCache/>
            </c:numRef>
          </c:val>
          <c:smooth val="0"/>
        </c:ser>
        <c:ser>
          <c:idx val="3"/>
          <c:order val="3"/>
          <c:tx>
            <c:v>Wind Mittel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(Übersicht!$A$10:$A$19,Übersicht!$A$21:$A$30,Übersicht!$A$32:$A$33,Übersicht!$A$34,Übersicht!$A$41:$A$42)</c:f>
              <c:strCache/>
            </c:strRef>
          </c:cat>
          <c:val>
            <c:numRef>
              <c:f>(Übersicht!$M$10:$M$19,Übersicht!$M$21:$M$30,Übersicht!$M$32:$M$34,Übersicht!$M$41:$M$42)</c:f>
              <c:numCache/>
            </c:numRef>
          </c:val>
          <c:smooth val="0"/>
        </c:ser>
        <c:marker val="1"/>
        <c:axId val="66997328"/>
        <c:axId val="66105041"/>
      </c:line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05041"/>
        <c:crosses val="autoZero"/>
        <c:auto val="1"/>
        <c:lblOffset val="100"/>
        <c:noMultiLvlLbl val="0"/>
      </c:catAx>
      <c:valAx>
        <c:axId val="66105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973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Luftdruck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Luftdruck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(Übersicht!$N$10:$N$19,Übersicht!$N$21:$N$30,Übersicht!$N$32:$N$42)</c:f>
              <c:numCache/>
            </c:numRef>
          </c:val>
          <c:smooth val="0"/>
        </c:ser>
        <c:ser>
          <c:idx val="1"/>
          <c:order val="1"/>
          <c:tx>
            <c:v>Luftdruck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(Übersicht!$O$10:$O$19,Übersicht!$O$21:$O$30,Übersicht!$O$32:$O$42)</c:f>
              <c:numCache/>
            </c:numRef>
          </c:val>
          <c:smooth val="0"/>
        </c:ser>
        <c:ser>
          <c:idx val="2"/>
          <c:order val="2"/>
          <c:tx>
            <c:v>Luftdruck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(Übersicht!$P$10:$P$19,Übersicht!$P$21:$P$30,Übersicht!$P$32:$P$42)</c:f>
              <c:numCache/>
            </c:numRef>
          </c:val>
          <c:smooth val="0"/>
        </c:ser>
        <c:marker val="1"/>
        <c:axId val="58074458"/>
        <c:axId val="52908075"/>
      </c:lineChart>
      <c:catAx>
        <c:axId val="580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08075"/>
        <c:crosses val="autoZero"/>
        <c:auto val="1"/>
        <c:lblOffset val="100"/>
        <c:noMultiLvlLbl val="0"/>
      </c:catAx>
      <c:valAx>
        <c:axId val="5290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7445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(Übersicht!$Q$10:$Q$19,Übersicht!$Q$21:$Q$30,Übersicht!$Q$32:$Q$42)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0"/>
          <c:order val="1"/>
          <c:tx>
            <c:v>Niederschlag Monat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(Übersicht!$R$10:$R$19,Übersicht!$R$21:$R$30,Übersicht!$R$32:$R$42)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410628"/>
        <c:axId val="57695653"/>
      </c:barChart>
      <c:lineChart>
        <c:grouping val="standard"/>
        <c:varyColors val="0"/>
        <c:ser>
          <c:idx val="2"/>
          <c:order val="2"/>
          <c:tx>
            <c:v>Niederschlagsrate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(Übersicht!$S$10:$S$19,Übersicht!$S$21:$S$30,Übersicht!$S$32:$S$42)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498830"/>
        <c:axId val="42836287"/>
      </c:lineChart>
      <c:catAx>
        <c:axId val="6410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95653"/>
        <c:crosses val="autoZero"/>
        <c:auto val="0"/>
        <c:lblOffset val="100"/>
        <c:noMultiLvlLbl val="0"/>
      </c:catAx>
      <c:valAx>
        <c:axId val="5769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0628"/>
        <c:crossesAt val="1"/>
        <c:crossBetween val="between"/>
        <c:dispUnits/>
      </c:valAx>
      <c:catAx>
        <c:axId val="49498830"/>
        <c:scaling>
          <c:orientation val="minMax"/>
        </c:scaling>
        <c:axPos val="b"/>
        <c:delete val="1"/>
        <c:majorTickMark val="in"/>
        <c:minorTickMark val="none"/>
        <c:tickLblPos val="nextTo"/>
        <c:crossAx val="42836287"/>
        <c:crosses val="autoZero"/>
        <c:auto val="0"/>
        <c:lblOffset val="100"/>
        <c:noMultiLvlLbl val="0"/>
      </c:catAx>
      <c:valAx>
        <c:axId val="42836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98830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Sonnenscheindauer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(Übersicht!$T$10:$T$19,Übersicht!$T$21:$T$30,Übersicht!$T$32:$T$42)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9982264"/>
        <c:axId val="47187193"/>
      </c:barChart>
      <c:catAx>
        <c:axId val="499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87193"/>
        <c:crosses val="autoZero"/>
        <c:auto val="1"/>
        <c:lblOffset val="100"/>
        <c:noMultiLvlLbl val="0"/>
      </c:catAx>
      <c:valAx>
        <c:axId val="47187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822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Solarstrahlung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Solar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(Übersicht!$U$10:$U$19,Übersicht!$U$21:$U$30,Übersicht!$U$32:$U$42)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Solar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(Übersicht!$V$10:$V$19,Übersicht!$V$21:$V$30,Übersicht!$V$32:$V$42)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2031554"/>
        <c:axId val="64066259"/>
      </c:lineChart>
      <c:catAx>
        <c:axId val="2203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66259"/>
        <c:crosses val="autoZero"/>
        <c:auto val="1"/>
        <c:lblOffset val="100"/>
        <c:noMultiLvlLbl val="0"/>
      </c:catAx>
      <c:valAx>
        <c:axId val="6406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3155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UV -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UV - Index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(Übersicht!$W$10:$W$19,Übersicht!$W$21:$W$30,Übersicht!$W$32:$W$42)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UV - Index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(Übersicht!$X$10:$X$19,Übersicht!$X$21:$X$30,Übersicht!$X$32:$X$42)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9725420"/>
        <c:axId val="21984461"/>
      </c:lineChart>
      <c:catAx>
        <c:axId val="39725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84461"/>
        <c:crosses val="autoZero"/>
        <c:auto val="1"/>
        <c:lblOffset val="100"/>
        <c:noMultiLvlLbl val="0"/>
      </c:catAx>
      <c:valAx>
        <c:axId val="21984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2542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Schneehöhe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Neuschnee 12h (18Z)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(Übersicht!$Y$10:$Y$19,Übersicht!$Y$21:$Y$30,Übersicht!$Y$32:$Y$42)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Neuschnee 24h (06Z)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(Übersicht!$Z$10:$Z$19,Übersicht!$Z$21:$Z$30,Übersicht!$Z$32:$Z$42)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tx>
            <c:v>Schneehöhe total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(Übersicht!$AA$10:$AA$19,Übersicht!$AA$21:$AA$30,Übersicht!$AA$32:$AA$42)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3642422"/>
        <c:axId val="35910887"/>
      </c:barChart>
      <c:catAx>
        <c:axId val="6364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10887"/>
        <c:crosses val="autoZero"/>
        <c:auto val="1"/>
        <c:lblOffset val="100"/>
        <c:noMultiLvlLbl val="0"/>
      </c:catAx>
      <c:valAx>
        <c:axId val="35910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4242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2</xdr:row>
      <xdr:rowOff>9525</xdr:rowOff>
    </xdr:from>
    <xdr:to>
      <xdr:col>45</xdr:col>
      <xdr:colOff>552450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9964400" y="428625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9525</xdr:colOff>
      <xdr:row>21</xdr:row>
      <xdr:rowOff>114300</xdr:rowOff>
    </xdr:from>
    <xdr:to>
      <xdr:col>45</xdr:col>
      <xdr:colOff>561975</xdr:colOff>
      <xdr:row>40</xdr:row>
      <xdr:rowOff>0</xdr:rowOff>
    </xdr:to>
    <xdr:graphicFrame>
      <xdr:nvGraphicFramePr>
        <xdr:cNvPr id="2" name="Chart 5"/>
        <xdr:cNvGraphicFramePr/>
      </xdr:nvGraphicFramePr>
      <xdr:xfrm>
        <a:off x="19973925" y="3609975"/>
        <a:ext cx="58864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0</xdr:colOff>
      <xdr:row>2</xdr:row>
      <xdr:rowOff>9525</xdr:rowOff>
    </xdr:from>
    <xdr:to>
      <xdr:col>53</xdr:col>
      <xdr:colOff>552450</xdr:colOff>
      <xdr:row>20</xdr:row>
      <xdr:rowOff>57150</xdr:rowOff>
    </xdr:to>
    <xdr:graphicFrame>
      <xdr:nvGraphicFramePr>
        <xdr:cNvPr id="3" name="Chart 6"/>
        <xdr:cNvGraphicFramePr/>
      </xdr:nvGraphicFramePr>
      <xdr:xfrm>
        <a:off x="26060400" y="428625"/>
        <a:ext cx="58864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46</xdr:col>
      <xdr:colOff>0</xdr:colOff>
      <xdr:row>21</xdr:row>
      <xdr:rowOff>114300</xdr:rowOff>
    </xdr:from>
    <xdr:to>
      <xdr:col>53</xdr:col>
      <xdr:colOff>552450</xdr:colOff>
      <xdr:row>40</xdr:row>
      <xdr:rowOff>0</xdr:rowOff>
    </xdr:to>
    <xdr:graphicFrame>
      <xdr:nvGraphicFramePr>
        <xdr:cNvPr id="4" name="Chart 7"/>
        <xdr:cNvGraphicFramePr/>
      </xdr:nvGraphicFramePr>
      <xdr:xfrm>
        <a:off x="26060400" y="3609975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54</xdr:col>
      <xdr:colOff>0</xdr:colOff>
      <xdr:row>2</xdr:row>
      <xdr:rowOff>9525</xdr:rowOff>
    </xdr:from>
    <xdr:to>
      <xdr:col>61</xdr:col>
      <xdr:colOff>552450</xdr:colOff>
      <xdr:row>20</xdr:row>
      <xdr:rowOff>57150</xdr:rowOff>
    </xdr:to>
    <xdr:graphicFrame>
      <xdr:nvGraphicFramePr>
        <xdr:cNvPr id="5" name="Chart 8"/>
        <xdr:cNvGraphicFramePr/>
      </xdr:nvGraphicFramePr>
      <xdr:xfrm>
        <a:off x="32156400" y="428625"/>
        <a:ext cx="58864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54</xdr:col>
      <xdr:colOff>0</xdr:colOff>
      <xdr:row>21</xdr:row>
      <xdr:rowOff>114300</xdr:rowOff>
    </xdr:from>
    <xdr:to>
      <xdr:col>61</xdr:col>
      <xdr:colOff>552450</xdr:colOff>
      <xdr:row>40</xdr:row>
      <xdr:rowOff>0</xdr:rowOff>
    </xdr:to>
    <xdr:graphicFrame>
      <xdr:nvGraphicFramePr>
        <xdr:cNvPr id="6" name="Chart 9"/>
        <xdr:cNvGraphicFramePr/>
      </xdr:nvGraphicFramePr>
      <xdr:xfrm>
        <a:off x="32156400" y="3609975"/>
        <a:ext cx="588645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62</xdr:col>
      <xdr:colOff>0</xdr:colOff>
      <xdr:row>2</xdr:row>
      <xdr:rowOff>9525</xdr:rowOff>
    </xdr:from>
    <xdr:to>
      <xdr:col>69</xdr:col>
      <xdr:colOff>552450</xdr:colOff>
      <xdr:row>20</xdr:row>
      <xdr:rowOff>57150</xdr:rowOff>
    </xdr:to>
    <xdr:graphicFrame>
      <xdr:nvGraphicFramePr>
        <xdr:cNvPr id="7" name="Chart 10"/>
        <xdr:cNvGraphicFramePr/>
      </xdr:nvGraphicFramePr>
      <xdr:xfrm>
        <a:off x="38252400" y="428625"/>
        <a:ext cx="588645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62</xdr:col>
      <xdr:colOff>0</xdr:colOff>
      <xdr:row>21</xdr:row>
      <xdr:rowOff>114300</xdr:rowOff>
    </xdr:from>
    <xdr:to>
      <xdr:col>69</xdr:col>
      <xdr:colOff>552450</xdr:colOff>
      <xdr:row>40</xdr:row>
      <xdr:rowOff>0</xdr:rowOff>
    </xdr:to>
    <xdr:graphicFrame>
      <xdr:nvGraphicFramePr>
        <xdr:cNvPr id="8" name="Chart 11"/>
        <xdr:cNvGraphicFramePr/>
      </xdr:nvGraphicFramePr>
      <xdr:xfrm>
        <a:off x="38252400" y="3609975"/>
        <a:ext cx="5886450" cy="2962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70</xdr:col>
      <xdr:colOff>9525</xdr:colOff>
      <xdr:row>2</xdr:row>
      <xdr:rowOff>9525</xdr:rowOff>
    </xdr:from>
    <xdr:to>
      <xdr:col>85</xdr:col>
      <xdr:colOff>742950</xdr:colOff>
      <xdr:row>20</xdr:row>
      <xdr:rowOff>57150</xdr:rowOff>
    </xdr:to>
    <xdr:graphicFrame>
      <xdr:nvGraphicFramePr>
        <xdr:cNvPr id="9" name="Chart 12"/>
        <xdr:cNvGraphicFramePr/>
      </xdr:nvGraphicFramePr>
      <xdr:xfrm>
        <a:off x="44357925" y="428625"/>
        <a:ext cx="12163425" cy="2962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5"/>
  <sheetViews>
    <sheetView tabSelected="1" zoomScaleSheetLayoutView="100" workbookViewId="0" topLeftCell="X1">
      <selection activeCell="AL14" sqref="AL14"/>
    </sheetView>
  </sheetViews>
  <sheetFormatPr defaultColWidth="11.421875" defaultRowHeight="12.75"/>
  <cols>
    <col min="1" max="1" width="9.7109375" style="0" customWidth="1"/>
    <col min="2" max="13" width="6.00390625" style="0" customWidth="1"/>
    <col min="14" max="16" width="6.140625" style="0" customWidth="1"/>
    <col min="17" max="19" width="6.00390625" style="0" customWidth="1"/>
    <col min="20" max="20" width="12.00390625" style="0" customWidth="1"/>
    <col min="21" max="27" width="6.00390625" style="0" customWidth="1"/>
    <col min="30" max="30" width="12.7109375" style="0" customWidth="1"/>
    <col min="36" max="36" width="11.7109375" style="0" customWidth="1"/>
  </cols>
  <sheetData>
    <row r="1" spans="1:86" ht="20.25">
      <c r="A1" s="100" t="s">
        <v>62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3">
        <v>39995</v>
      </c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3">
        <v>39995</v>
      </c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4">
        <v>39995</v>
      </c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3">
        <v>39995</v>
      </c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</row>
    <row r="2" spans="1:47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U2" t="s">
        <v>85</v>
      </c>
    </row>
    <row r="3" spans="1:27" ht="12.75">
      <c r="A3" s="101" t="s">
        <v>80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8" ht="12.75">
      <c r="A6" s="42"/>
      <c r="B6" s="94" t="s">
        <v>63</v>
      </c>
      <c r="C6" s="98"/>
      <c r="D6" s="98"/>
      <c r="E6" s="98"/>
      <c r="F6" s="99"/>
      <c r="G6" s="94" t="s">
        <v>64</v>
      </c>
      <c r="H6" s="98"/>
      <c r="I6" s="99"/>
      <c r="J6" s="94" t="s">
        <v>65</v>
      </c>
      <c r="K6" s="98"/>
      <c r="L6" s="98"/>
      <c r="M6" s="99"/>
      <c r="N6" s="94" t="s">
        <v>66</v>
      </c>
      <c r="O6" s="98"/>
      <c r="P6" s="99"/>
      <c r="Q6" s="94" t="s">
        <v>67</v>
      </c>
      <c r="R6" s="98"/>
      <c r="S6" s="99"/>
      <c r="T6" s="61" t="s">
        <v>68</v>
      </c>
      <c r="U6" s="94" t="s">
        <v>69</v>
      </c>
      <c r="V6" s="99"/>
      <c r="W6" s="94" t="s">
        <v>13</v>
      </c>
      <c r="X6" s="99"/>
      <c r="Y6" s="94" t="s">
        <v>75</v>
      </c>
      <c r="Z6" s="95"/>
      <c r="AA6" s="95"/>
      <c r="AB6" s="1"/>
      <c r="AC6" s="1"/>
      <c r="AD6" s="68" t="s">
        <v>16</v>
      </c>
      <c r="AE6" s="3" t="s">
        <v>17</v>
      </c>
      <c r="AF6" s="4" t="s">
        <v>18</v>
      </c>
      <c r="AG6" s="5" t="s">
        <v>19</v>
      </c>
      <c r="AH6" s="85" t="s">
        <v>20</v>
      </c>
      <c r="AI6" s="83"/>
      <c r="AJ6" s="6" t="s">
        <v>21</v>
      </c>
      <c r="AK6" s="7"/>
      <c r="AL6" s="85" t="s">
        <v>22</v>
      </c>
    </row>
    <row r="7" spans="1:38" ht="12.75">
      <c r="A7" s="42"/>
      <c r="B7" s="92" t="s">
        <v>6</v>
      </c>
      <c r="C7" s="93" t="s">
        <v>7</v>
      </c>
      <c r="D7" s="29" t="s">
        <v>14</v>
      </c>
      <c r="E7" s="29"/>
      <c r="F7" s="32"/>
      <c r="G7" s="27"/>
      <c r="H7" s="29"/>
      <c r="I7" s="32"/>
      <c r="J7" s="27"/>
      <c r="K7" s="29"/>
      <c r="L7" s="29"/>
      <c r="M7" s="32"/>
      <c r="N7" s="27"/>
      <c r="O7" s="29"/>
      <c r="P7" s="32"/>
      <c r="Q7" s="27"/>
      <c r="R7" s="29"/>
      <c r="S7" s="32"/>
      <c r="T7" s="35"/>
      <c r="U7" s="27"/>
      <c r="V7" s="32"/>
      <c r="W7" s="27"/>
      <c r="X7" s="32"/>
      <c r="Y7" s="92" t="s">
        <v>70</v>
      </c>
      <c r="Z7" s="93"/>
      <c r="AA7" s="29"/>
      <c r="AB7" s="1" t="s">
        <v>23</v>
      </c>
      <c r="AC7" s="1"/>
      <c r="AD7" s="69">
        <f>AVERAGE(B10:B19,B21:B30,B32:B42)</f>
        <v>22.306451612903224</v>
      </c>
      <c r="AE7" s="8">
        <f>MAX(B10:B19,B21:B30,B32:B42)</f>
        <v>27.1</v>
      </c>
      <c r="AF7" s="9">
        <f>MIN(B10:B19,B21:B30,B32:B42)</f>
        <v>12.7</v>
      </c>
      <c r="AG7" s="1"/>
      <c r="AH7" s="84" t="s">
        <v>109</v>
      </c>
      <c r="AI7" s="80" t="s">
        <v>55</v>
      </c>
      <c r="AJ7" s="83" t="s">
        <v>90</v>
      </c>
      <c r="AK7" s="83">
        <f>COUNTIF($C$10:$C$19,"&lt;=-10")+COUNTIF($C$21:$C$30,"&lt;=-10")+COUNTIF($C$32:$C$42,"&lt;=-10")</f>
        <v>0</v>
      </c>
      <c r="AL7" s="82"/>
    </row>
    <row r="8" spans="1:38" ht="12.75">
      <c r="A8" s="42"/>
      <c r="B8" s="92"/>
      <c r="C8" s="93"/>
      <c r="D8" s="29" t="s">
        <v>15</v>
      </c>
      <c r="E8" s="29" t="s">
        <v>8</v>
      </c>
      <c r="F8" s="32"/>
      <c r="G8" s="27"/>
      <c r="H8" s="29"/>
      <c r="I8" s="32"/>
      <c r="J8" s="27" t="s">
        <v>10</v>
      </c>
      <c r="K8" s="29" t="s">
        <v>11</v>
      </c>
      <c r="L8" s="29" t="s">
        <v>10</v>
      </c>
      <c r="M8" s="32" t="s">
        <v>11</v>
      </c>
      <c r="N8" s="27"/>
      <c r="O8" s="29"/>
      <c r="P8" s="32"/>
      <c r="Q8" s="27"/>
      <c r="R8" s="29"/>
      <c r="S8" s="32" t="s">
        <v>12</v>
      </c>
      <c r="T8" s="35"/>
      <c r="U8" s="27"/>
      <c r="V8" s="32"/>
      <c r="W8" s="27"/>
      <c r="X8" s="32"/>
      <c r="Y8" s="27" t="s">
        <v>71</v>
      </c>
      <c r="Z8" s="29" t="s">
        <v>72</v>
      </c>
      <c r="AA8" s="29"/>
      <c r="AB8" s="1" t="s">
        <v>24</v>
      </c>
      <c r="AC8" s="1"/>
      <c r="AD8" s="69">
        <f>AVERAGE(C10:C19,C21:C30,C32:C42)</f>
        <v>12.72258064516129</v>
      </c>
      <c r="AE8" s="8">
        <f>MAX(C10:C19,C21:C30,C32:C42)</f>
        <v>17.6</v>
      </c>
      <c r="AF8" s="9">
        <f>MIN(C10:C19,C21:C30,C32:C42)</f>
        <v>8.3</v>
      </c>
      <c r="AG8" s="1"/>
      <c r="AH8" s="84" t="s">
        <v>110</v>
      </c>
      <c r="AI8" s="80" t="s">
        <v>56</v>
      </c>
      <c r="AJ8" s="9" t="s">
        <v>91</v>
      </c>
      <c r="AK8" s="9">
        <f>COUNTIF($B$10:$B$19,"&lt;=0")+COUNTIF($B$21:$B$30,"&lt;=0")+COUNTIF($B$32:$B$42,"&lt;=0")</f>
        <v>0</v>
      </c>
      <c r="AL8" s="84" t="s">
        <v>88</v>
      </c>
    </row>
    <row r="9" spans="1:38" ht="12.75">
      <c r="A9" s="31"/>
      <c r="B9" s="96"/>
      <c r="C9" s="97"/>
      <c r="D9" s="30" t="s">
        <v>7</v>
      </c>
      <c r="E9" s="30" t="s">
        <v>9</v>
      </c>
      <c r="F9" s="34" t="s">
        <v>5</v>
      </c>
      <c r="G9" s="33" t="s">
        <v>6</v>
      </c>
      <c r="H9" s="30" t="s">
        <v>7</v>
      </c>
      <c r="I9" s="34" t="s">
        <v>5</v>
      </c>
      <c r="J9" s="33" t="s">
        <v>6</v>
      </c>
      <c r="K9" s="30" t="s">
        <v>6</v>
      </c>
      <c r="L9" s="30" t="s">
        <v>5</v>
      </c>
      <c r="M9" s="34" t="s">
        <v>5</v>
      </c>
      <c r="N9" s="33" t="s">
        <v>6</v>
      </c>
      <c r="O9" s="30" t="s">
        <v>7</v>
      </c>
      <c r="P9" s="34" t="s">
        <v>5</v>
      </c>
      <c r="Q9" s="33" t="s">
        <v>0</v>
      </c>
      <c r="R9" s="30" t="s">
        <v>4</v>
      </c>
      <c r="S9" s="34" t="s">
        <v>6</v>
      </c>
      <c r="T9" s="36" t="s">
        <v>0</v>
      </c>
      <c r="U9" s="33" t="s">
        <v>6</v>
      </c>
      <c r="V9" s="34" t="s">
        <v>5</v>
      </c>
      <c r="W9" s="33" t="s">
        <v>6</v>
      </c>
      <c r="X9" s="34" t="s">
        <v>5</v>
      </c>
      <c r="Y9" s="30" t="s">
        <v>73</v>
      </c>
      <c r="Z9" s="30" t="s">
        <v>74</v>
      </c>
      <c r="AA9" s="30" t="s">
        <v>76</v>
      </c>
      <c r="AB9" s="1" t="s">
        <v>25</v>
      </c>
      <c r="AC9" s="1"/>
      <c r="AD9" s="69">
        <f>AVERAGE(D10:D19,D21:D30,D32:D42)</f>
        <v>12.254838709677417</v>
      </c>
      <c r="AE9" s="8">
        <f>MAX(D10:D19,D21:D30,D32:D42)</f>
        <v>17.6</v>
      </c>
      <c r="AF9" s="9">
        <f>MIN(D10:D19,D21:D30,D32:D42)</f>
        <v>6</v>
      </c>
      <c r="AG9" s="1"/>
      <c r="AH9" s="81"/>
      <c r="AI9" s="80" t="s">
        <v>57</v>
      </c>
      <c r="AJ9" s="10" t="s">
        <v>92</v>
      </c>
      <c r="AK9" s="10">
        <f>COUNTIF($C$10:$C$19,"&lt;0")+COUNTIF($C$21:$C$30,"&lt;0")+COUNTIF($C$32:$C$42,"&lt;0")</f>
        <v>0</v>
      </c>
      <c r="AL9" s="84" t="s">
        <v>88</v>
      </c>
    </row>
    <row r="10" spans="1:38" ht="12.75">
      <c r="A10" s="32">
        <v>1</v>
      </c>
      <c r="B10" s="43">
        <v>25.6</v>
      </c>
      <c r="C10" s="44">
        <v>14.7</v>
      </c>
      <c r="D10" s="44">
        <v>14</v>
      </c>
      <c r="E10" s="44">
        <f aca="true" t="shared" si="0" ref="E10:E19">SUM(B10-C10)</f>
        <v>10.900000000000002</v>
      </c>
      <c r="F10" s="42">
        <v>19.24</v>
      </c>
      <c r="G10" s="43">
        <v>95</v>
      </c>
      <c r="H10" s="44">
        <v>55</v>
      </c>
      <c r="I10" s="42">
        <v>82</v>
      </c>
      <c r="J10" s="43">
        <v>26</v>
      </c>
      <c r="K10" s="44">
        <v>19.3</v>
      </c>
      <c r="L10" s="44">
        <v>6.1</v>
      </c>
      <c r="M10" s="42">
        <v>4</v>
      </c>
      <c r="N10" s="57">
        <v>1018.6</v>
      </c>
      <c r="O10" s="58">
        <v>1016.2</v>
      </c>
      <c r="P10" s="59">
        <v>1017.7</v>
      </c>
      <c r="Q10" s="43">
        <v>1</v>
      </c>
      <c r="R10" s="44">
        <v>1</v>
      </c>
      <c r="S10" s="42">
        <v>3.6</v>
      </c>
      <c r="T10" s="45">
        <v>0.3340277777777778</v>
      </c>
      <c r="U10" s="43">
        <v>1014</v>
      </c>
      <c r="V10" s="42">
        <v>393</v>
      </c>
      <c r="W10" s="43">
        <v>7.7</v>
      </c>
      <c r="X10" s="42">
        <v>3.8</v>
      </c>
      <c r="Y10" s="44">
        <v>0</v>
      </c>
      <c r="Z10" s="44">
        <v>0</v>
      </c>
      <c r="AA10" s="28">
        <v>0</v>
      </c>
      <c r="AB10" s="1" t="s">
        <v>26</v>
      </c>
      <c r="AC10" s="1"/>
      <c r="AD10" s="69">
        <f>AVERAGE(F10:F19,F21:F30,F32:F42)</f>
        <v>17.03548387096774</v>
      </c>
      <c r="AE10" s="8">
        <f>MAX(F10:F19,F21:F30,F32:F42)</f>
        <v>21.42</v>
      </c>
      <c r="AF10" s="9">
        <f>MIN(F10:F19,F21:F30,F32:F42)</f>
        <v>9.96</v>
      </c>
      <c r="AG10" s="1"/>
      <c r="AH10" s="84" t="s">
        <v>111</v>
      </c>
      <c r="AI10" s="80" t="s">
        <v>58</v>
      </c>
      <c r="AJ10" s="11" t="s">
        <v>93</v>
      </c>
      <c r="AK10" s="11">
        <f>COUNTIF($B$10:$B$19,"&lt;10")+COUNTIF($B$21:$B$30,"&lt;10")+COUNTIF($B$32:$B$42,"&lt;10")</f>
        <v>0</v>
      </c>
      <c r="AL10" s="7"/>
    </row>
    <row r="11" spans="1:38" ht="12.75">
      <c r="A11" s="32">
        <v>2</v>
      </c>
      <c r="B11" s="43">
        <v>25.7</v>
      </c>
      <c r="C11" s="44">
        <v>14.1</v>
      </c>
      <c r="D11" s="44">
        <v>14</v>
      </c>
      <c r="E11" s="44">
        <f t="shared" si="0"/>
        <v>11.6</v>
      </c>
      <c r="F11" s="42">
        <v>19.37</v>
      </c>
      <c r="G11" s="43">
        <v>94</v>
      </c>
      <c r="H11" s="44">
        <v>56</v>
      </c>
      <c r="I11" s="42">
        <v>80</v>
      </c>
      <c r="J11" s="43">
        <v>18</v>
      </c>
      <c r="K11" s="44">
        <v>10.8</v>
      </c>
      <c r="L11" s="44">
        <v>4.2</v>
      </c>
      <c r="M11" s="42">
        <v>2.5</v>
      </c>
      <c r="N11" s="57">
        <v>1018.1</v>
      </c>
      <c r="O11" s="58">
        <v>1013.9</v>
      </c>
      <c r="P11" s="59">
        <v>1015.8</v>
      </c>
      <c r="Q11" s="43">
        <v>0</v>
      </c>
      <c r="R11" s="44">
        <v>1</v>
      </c>
      <c r="S11" s="42">
        <v>0</v>
      </c>
      <c r="T11" s="45">
        <v>0.3055555555555555</v>
      </c>
      <c r="U11" s="43">
        <v>1085</v>
      </c>
      <c r="V11" s="42">
        <v>394</v>
      </c>
      <c r="W11" s="43">
        <v>7.8</v>
      </c>
      <c r="X11" s="42">
        <v>3.6</v>
      </c>
      <c r="Y11" s="44">
        <v>0</v>
      </c>
      <c r="Z11" s="44">
        <v>0</v>
      </c>
      <c r="AA11" s="28">
        <v>0</v>
      </c>
      <c r="AB11" s="1"/>
      <c r="AC11" s="1"/>
      <c r="AD11" s="69"/>
      <c r="AE11" s="8"/>
      <c r="AF11" s="9"/>
      <c r="AG11" s="1"/>
      <c r="AH11" s="81"/>
      <c r="AI11" s="80" t="s">
        <v>59</v>
      </c>
      <c r="AJ11" s="12" t="s">
        <v>94</v>
      </c>
      <c r="AK11" s="12">
        <f>COUNTIF($B$10:$B$19,"&gt;=20")+COUNTIF($B$21:$B$30,"&gt;=20")+COUNTIF($B$32:$B$42,"&gt;=20")</f>
        <v>23</v>
      </c>
      <c r="AL11" s="7"/>
    </row>
    <row r="12" spans="1:38" ht="12.75">
      <c r="A12" s="32">
        <v>3</v>
      </c>
      <c r="B12" s="43">
        <v>24.7</v>
      </c>
      <c r="C12" s="44">
        <v>15</v>
      </c>
      <c r="D12" s="44">
        <v>15</v>
      </c>
      <c r="E12" s="44">
        <f t="shared" si="0"/>
        <v>9.7</v>
      </c>
      <c r="F12" s="42">
        <v>18.65</v>
      </c>
      <c r="G12" s="43">
        <v>96</v>
      </c>
      <c r="H12" s="44">
        <v>60</v>
      </c>
      <c r="I12" s="42">
        <v>84</v>
      </c>
      <c r="J12" s="43">
        <v>31</v>
      </c>
      <c r="K12" s="44">
        <v>23.1</v>
      </c>
      <c r="L12" s="44">
        <v>6.6</v>
      </c>
      <c r="M12" s="42">
        <v>4.4</v>
      </c>
      <c r="N12" s="57">
        <v>1014.9</v>
      </c>
      <c r="O12" s="58">
        <v>1012.5</v>
      </c>
      <c r="P12" s="59">
        <v>1013.9</v>
      </c>
      <c r="Q12" s="43">
        <v>10.6</v>
      </c>
      <c r="R12" s="44">
        <v>11.6</v>
      </c>
      <c r="S12" s="42">
        <v>51.8</v>
      </c>
      <c r="T12" s="45">
        <v>0.24583333333333335</v>
      </c>
      <c r="U12" s="43">
        <v>1114</v>
      </c>
      <c r="V12" s="42">
        <v>418</v>
      </c>
      <c r="W12" s="43">
        <v>8.8</v>
      </c>
      <c r="X12" s="42">
        <v>4.6</v>
      </c>
      <c r="Y12" s="44">
        <v>0</v>
      </c>
      <c r="Z12" s="44">
        <v>0</v>
      </c>
      <c r="AA12" s="28">
        <v>0</v>
      </c>
      <c r="AB12" s="1" t="s">
        <v>27</v>
      </c>
      <c r="AC12" s="1"/>
      <c r="AD12" s="69">
        <f>AVERAGE(G10:G19,G21:G30,G32:G42)</f>
        <v>93</v>
      </c>
      <c r="AE12" s="8">
        <f>MAX(G10:G19,G21:G30,G32:G42)</f>
        <v>98</v>
      </c>
      <c r="AF12" s="9">
        <f>MIN(G10:G19,G21:G30,G32:G42)</f>
        <v>81</v>
      </c>
      <c r="AG12" s="1"/>
      <c r="AH12" s="81"/>
      <c r="AI12" s="80" t="s">
        <v>60</v>
      </c>
      <c r="AJ12" s="13" t="s">
        <v>95</v>
      </c>
      <c r="AK12" s="13">
        <f>COUNTIF($B$10:$B$19,"&gt;=25")+COUNTIF($B$21:$B$30,"&gt;=25")+COUNTIF($B$32:$B$42,"&gt;=25")</f>
        <v>8</v>
      </c>
      <c r="AL12" s="84" t="s">
        <v>115</v>
      </c>
    </row>
    <row r="13" spans="1:38" ht="12.75">
      <c r="A13" s="32">
        <v>4</v>
      </c>
      <c r="B13" s="43">
        <v>24.2</v>
      </c>
      <c r="C13" s="44">
        <v>13.7</v>
      </c>
      <c r="D13" s="44">
        <v>13</v>
      </c>
      <c r="E13" s="44">
        <f t="shared" si="0"/>
        <v>10.5</v>
      </c>
      <c r="F13" s="42">
        <v>17.81</v>
      </c>
      <c r="G13" s="43">
        <v>95</v>
      </c>
      <c r="H13" s="44">
        <v>57</v>
      </c>
      <c r="I13" s="42">
        <v>85</v>
      </c>
      <c r="J13" s="43">
        <v>26</v>
      </c>
      <c r="K13" s="44">
        <v>17.7</v>
      </c>
      <c r="L13" s="44">
        <v>6.5</v>
      </c>
      <c r="M13" s="42">
        <v>4.3</v>
      </c>
      <c r="N13" s="57">
        <v>1014.2</v>
      </c>
      <c r="O13" s="58">
        <v>1010.5</v>
      </c>
      <c r="P13" s="59">
        <v>1012.2</v>
      </c>
      <c r="Q13" s="43">
        <v>2.2</v>
      </c>
      <c r="R13" s="44">
        <v>13.8</v>
      </c>
      <c r="S13" s="42">
        <v>16.8</v>
      </c>
      <c r="T13" s="45">
        <v>0.3125</v>
      </c>
      <c r="U13" s="43">
        <v>1164</v>
      </c>
      <c r="V13" s="42">
        <v>388</v>
      </c>
      <c r="W13" s="43">
        <v>9.8</v>
      </c>
      <c r="X13" s="42">
        <v>4.4</v>
      </c>
      <c r="Y13" s="44">
        <v>0</v>
      </c>
      <c r="Z13" s="44">
        <v>0</v>
      </c>
      <c r="AA13" s="28">
        <v>0</v>
      </c>
      <c r="AB13" s="1" t="s">
        <v>28</v>
      </c>
      <c r="AC13" s="1"/>
      <c r="AD13" s="69">
        <f>AVERAGE(H10:H19,H21:H30,H32:H42)</f>
        <v>55.83870967741935</v>
      </c>
      <c r="AE13" s="14">
        <f>MAX(H10:H19,H21:H30,H32:H42)</f>
        <v>82</v>
      </c>
      <c r="AF13" s="15">
        <f>MIN(H10:H19,H21:H30,H32:H42)</f>
        <v>38</v>
      </c>
      <c r="AG13" s="1"/>
      <c r="AH13" s="81"/>
      <c r="AI13" s="80" t="s">
        <v>61</v>
      </c>
      <c r="AJ13" s="16" t="s">
        <v>96</v>
      </c>
      <c r="AK13" s="16">
        <f>COUNTIF($B$10:$B$19,"&gt;=30")+COUNTIF($B$21:$B$30,"&gt;=30")+COUNTIF($B$32:$B$42,"&gt;=30")</f>
        <v>0</v>
      </c>
      <c r="AL13" s="84" t="s">
        <v>116</v>
      </c>
    </row>
    <row r="14" spans="1:38" ht="12.75">
      <c r="A14" s="32">
        <v>5</v>
      </c>
      <c r="B14" s="43">
        <v>24.3</v>
      </c>
      <c r="C14" s="44">
        <v>14.1</v>
      </c>
      <c r="D14" s="44">
        <v>14</v>
      </c>
      <c r="E14" s="44">
        <f t="shared" si="0"/>
        <v>10.200000000000001</v>
      </c>
      <c r="F14" s="42">
        <v>17.42</v>
      </c>
      <c r="G14" s="43">
        <v>96</v>
      </c>
      <c r="H14" s="44">
        <v>55</v>
      </c>
      <c r="I14" s="42">
        <v>85</v>
      </c>
      <c r="J14" s="43">
        <v>37</v>
      </c>
      <c r="K14" s="44">
        <v>22.2</v>
      </c>
      <c r="L14" s="44">
        <v>5</v>
      </c>
      <c r="M14" s="42">
        <v>3.2</v>
      </c>
      <c r="N14" s="57">
        <v>1012.6</v>
      </c>
      <c r="O14" s="58">
        <v>1008.6</v>
      </c>
      <c r="P14" s="59">
        <v>1010.5</v>
      </c>
      <c r="Q14" s="43">
        <v>15.8</v>
      </c>
      <c r="R14" s="44">
        <v>29.6</v>
      </c>
      <c r="S14" s="42">
        <v>64.8</v>
      </c>
      <c r="T14" s="45">
        <v>0.19791666666666666</v>
      </c>
      <c r="U14" s="43">
        <v>1165</v>
      </c>
      <c r="V14" s="42">
        <v>330</v>
      </c>
      <c r="W14" s="43">
        <v>9.3</v>
      </c>
      <c r="X14" s="42">
        <v>4.5</v>
      </c>
      <c r="Y14" s="44">
        <v>0</v>
      </c>
      <c r="Z14" s="44">
        <v>0</v>
      </c>
      <c r="AA14" s="28">
        <v>0</v>
      </c>
      <c r="AB14" s="1" t="s">
        <v>29</v>
      </c>
      <c r="AC14" s="1"/>
      <c r="AD14" s="69">
        <f>AVERAGE(I10:I19,I21:I30,I32:I42)</f>
        <v>78.80645161290323</v>
      </c>
      <c r="AE14" s="14">
        <f>MAX(I10:I19,I21:I30,I32:I42)</f>
        <v>93</v>
      </c>
      <c r="AF14" s="15">
        <f>MIN(I10:I19,I21:I30,I32:I42)</f>
        <v>66</v>
      </c>
      <c r="AG14" s="1"/>
      <c r="AH14" s="84" t="s">
        <v>112</v>
      </c>
      <c r="AI14" s="80" t="s">
        <v>81</v>
      </c>
      <c r="AJ14" s="17" t="s">
        <v>97</v>
      </c>
      <c r="AK14" s="17">
        <f>COUNTIF($C$10:$C$19,"&gt;=20")+COUNTIF($C$21:$C$30,"&gt;=20")+COUNTIF($C$32:$C$42,"&gt;=20")</f>
        <v>0</v>
      </c>
      <c r="AL14" s="18"/>
    </row>
    <row r="15" spans="1:38" ht="12.75">
      <c r="A15" s="32">
        <v>6</v>
      </c>
      <c r="B15" s="43">
        <v>22.2</v>
      </c>
      <c r="C15" s="44">
        <v>14.1</v>
      </c>
      <c r="D15" s="44">
        <v>14</v>
      </c>
      <c r="E15" s="44">
        <f t="shared" si="0"/>
        <v>8.1</v>
      </c>
      <c r="F15" s="42">
        <v>16.89</v>
      </c>
      <c r="G15" s="43">
        <v>98</v>
      </c>
      <c r="H15" s="44">
        <v>58</v>
      </c>
      <c r="I15" s="42">
        <v>84</v>
      </c>
      <c r="J15" s="43">
        <v>26</v>
      </c>
      <c r="K15" s="44">
        <v>20</v>
      </c>
      <c r="L15" s="44">
        <v>5.1</v>
      </c>
      <c r="M15" s="42">
        <v>3.3</v>
      </c>
      <c r="N15" s="57">
        <v>1011.7</v>
      </c>
      <c r="O15" s="58">
        <v>1009.6</v>
      </c>
      <c r="P15" s="59">
        <v>1010.7</v>
      </c>
      <c r="Q15" s="43">
        <v>6.8</v>
      </c>
      <c r="R15" s="44">
        <v>36.4</v>
      </c>
      <c r="S15" s="42">
        <v>49.6</v>
      </c>
      <c r="T15" s="45">
        <v>0.15833333333333333</v>
      </c>
      <c r="U15" s="43">
        <v>1151</v>
      </c>
      <c r="V15" s="42">
        <v>312</v>
      </c>
      <c r="W15" s="43">
        <v>9.1</v>
      </c>
      <c r="X15" s="42">
        <v>3.4</v>
      </c>
      <c r="Y15" s="44">
        <v>0</v>
      </c>
      <c r="Z15" s="44">
        <v>0</v>
      </c>
      <c r="AA15" s="28">
        <v>0</v>
      </c>
      <c r="AB15" s="1"/>
      <c r="AC15" s="1"/>
      <c r="AD15" s="69"/>
      <c r="AE15" s="8"/>
      <c r="AF15" s="9"/>
      <c r="AG15" s="1"/>
      <c r="AH15" s="81"/>
      <c r="AI15" s="7"/>
      <c r="AJ15" s="1"/>
      <c r="AK15" s="1"/>
      <c r="AL15" s="18"/>
    </row>
    <row r="16" spans="1:38" ht="12.75">
      <c r="A16" s="32">
        <v>7</v>
      </c>
      <c r="B16" s="43">
        <v>16.4</v>
      </c>
      <c r="C16" s="44">
        <v>10.8</v>
      </c>
      <c r="D16" s="44">
        <v>8</v>
      </c>
      <c r="E16" s="44">
        <f t="shared" si="0"/>
        <v>5.599999999999998</v>
      </c>
      <c r="F16" s="42">
        <v>13</v>
      </c>
      <c r="G16" s="43">
        <v>96</v>
      </c>
      <c r="H16" s="44">
        <v>71</v>
      </c>
      <c r="I16" s="42">
        <v>86</v>
      </c>
      <c r="J16" s="43">
        <v>50</v>
      </c>
      <c r="K16" s="44">
        <v>35.4</v>
      </c>
      <c r="L16" s="44">
        <v>8.4</v>
      </c>
      <c r="M16" s="42">
        <v>5.5</v>
      </c>
      <c r="N16" s="57">
        <v>1013.2</v>
      </c>
      <c r="O16" s="58">
        <v>1009.4</v>
      </c>
      <c r="P16" s="59">
        <v>1010.8</v>
      </c>
      <c r="Q16" s="43">
        <v>9.2</v>
      </c>
      <c r="R16" s="44">
        <v>45.6</v>
      </c>
      <c r="S16" s="42">
        <v>42.6</v>
      </c>
      <c r="T16" s="45">
        <v>0.0375</v>
      </c>
      <c r="U16" s="43">
        <v>1046</v>
      </c>
      <c r="V16" s="42">
        <v>153</v>
      </c>
      <c r="W16" s="43">
        <v>7.8</v>
      </c>
      <c r="X16" s="42">
        <v>1.9</v>
      </c>
      <c r="Y16" s="44">
        <v>0</v>
      </c>
      <c r="Z16" s="44">
        <v>0</v>
      </c>
      <c r="AA16" s="28">
        <v>0</v>
      </c>
      <c r="AB16" s="1" t="s">
        <v>30</v>
      </c>
      <c r="AC16" s="1"/>
      <c r="AD16" s="69">
        <f>AVERAGE(J10:J19,J21:J30,J32:J42)</f>
        <v>32.36</v>
      </c>
      <c r="AE16" s="8">
        <f>MAX(J10:J19,J21:J30,J32:J42)</f>
        <v>58</v>
      </c>
      <c r="AF16" s="9">
        <f>MIN(J10:J19,J21:J30,J32:J42)</f>
        <v>18</v>
      </c>
      <c r="AG16" s="1"/>
      <c r="AH16" s="81"/>
      <c r="AI16" s="7"/>
      <c r="AJ16" s="6" t="s">
        <v>31</v>
      </c>
      <c r="AK16" s="6"/>
      <c r="AL16" s="18"/>
    </row>
    <row r="17" spans="1:38" ht="12.75">
      <c r="A17" s="32">
        <v>8</v>
      </c>
      <c r="B17" s="43">
        <v>17</v>
      </c>
      <c r="C17" s="44">
        <v>8.9</v>
      </c>
      <c r="D17" s="44">
        <v>6</v>
      </c>
      <c r="E17" s="44">
        <f t="shared" si="0"/>
        <v>8.1</v>
      </c>
      <c r="F17" s="42">
        <v>12.15</v>
      </c>
      <c r="G17" s="43">
        <v>97</v>
      </c>
      <c r="H17" s="44">
        <v>60</v>
      </c>
      <c r="I17" s="42">
        <v>84</v>
      </c>
      <c r="J17" s="43">
        <v>37</v>
      </c>
      <c r="K17" s="44">
        <v>30</v>
      </c>
      <c r="L17" s="44">
        <v>11.5</v>
      </c>
      <c r="M17" s="42">
        <v>7.9</v>
      </c>
      <c r="N17" s="57">
        <v>1017.8</v>
      </c>
      <c r="O17" s="58">
        <v>1012.9</v>
      </c>
      <c r="P17" s="59">
        <v>1015.2</v>
      </c>
      <c r="Q17" s="43">
        <v>5.4</v>
      </c>
      <c r="R17" s="44">
        <v>51</v>
      </c>
      <c r="S17" s="42">
        <v>11.8</v>
      </c>
      <c r="T17" s="45">
        <v>0.14930555555555555</v>
      </c>
      <c r="U17" s="43">
        <v>1325</v>
      </c>
      <c r="V17" s="42">
        <v>288</v>
      </c>
      <c r="W17" s="43">
        <v>8.5</v>
      </c>
      <c r="X17" s="42">
        <v>2.6</v>
      </c>
      <c r="Y17" s="44">
        <v>0</v>
      </c>
      <c r="Z17" s="44">
        <v>0</v>
      </c>
      <c r="AA17" s="28">
        <v>0</v>
      </c>
      <c r="AB17" s="1" t="s">
        <v>32</v>
      </c>
      <c r="AC17" s="1"/>
      <c r="AD17" s="69">
        <f>AVERAGE(K10:K19,K21:K30,K32:K42)</f>
        <v>23.156000000000002</v>
      </c>
      <c r="AE17" s="8">
        <f>MAX(K10:K19,K21:K30,K32:K42)</f>
        <v>38.6</v>
      </c>
      <c r="AF17" s="9">
        <f>MIN(K10:K19,K21:K30,K32:K42)</f>
        <v>10.8</v>
      </c>
      <c r="AG17" s="1"/>
      <c r="AH17" s="81"/>
      <c r="AI17" s="7"/>
      <c r="AJ17" s="17" t="s">
        <v>33</v>
      </c>
      <c r="AK17" s="17">
        <f>COUNTIF(J10:J19,"&gt;=61.8")+COUNTIF(J21:J30,"&gt;=61.8")+COUNTIF(J32:J42,"&gt;=61.8")</f>
        <v>0</v>
      </c>
      <c r="AL17" s="1"/>
    </row>
    <row r="18" spans="1:38" ht="12.75">
      <c r="A18" s="32">
        <v>9</v>
      </c>
      <c r="B18" s="43">
        <v>17.6</v>
      </c>
      <c r="C18" s="44">
        <v>9.7</v>
      </c>
      <c r="D18" s="44">
        <v>9.7</v>
      </c>
      <c r="E18" s="44">
        <f t="shared" si="0"/>
        <v>7.900000000000002</v>
      </c>
      <c r="F18" s="42">
        <v>12.94</v>
      </c>
      <c r="G18" s="43">
        <v>92</v>
      </c>
      <c r="H18" s="44">
        <v>60</v>
      </c>
      <c r="I18" s="42">
        <v>79</v>
      </c>
      <c r="J18" s="43">
        <v>29</v>
      </c>
      <c r="K18" s="44">
        <v>18.6</v>
      </c>
      <c r="L18" s="44">
        <v>6</v>
      </c>
      <c r="M18" s="42">
        <v>3.7</v>
      </c>
      <c r="N18" s="57">
        <v>1017.8</v>
      </c>
      <c r="O18" s="58">
        <v>1015.4</v>
      </c>
      <c r="P18" s="59">
        <v>1016.8</v>
      </c>
      <c r="Q18" s="43">
        <v>0.4</v>
      </c>
      <c r="R18" s="44">
        <v>51.4</v>
      </c>
      <c r="S18" s="42">
        <v>0.2</v>
      </c>
      <c r="T18" s="45">
        <v>0.15763888888888888</v>
      </c>
      <c r="U18" s="43">
        <v>1129</v>
      </c>
      <c r="V18" s="42">
        <v>303</v>
      </c>
      <c r="W18" s="43">
        <v>8.1</v>
      </c>
      <c r="X18" s="42">
        <v>2.9</v>
      </c>
      <c r="Y18" s="44">
        <v>0</v>
      </c>
      <c r="Z18" s="44">
        <v>0</v>
      </c>
      <c r="AA18" s="28">
        <v>0</v>
      </c>
      <c r="AB18" s="1" t="s">
        <v>34</v>
      </c>
      <c r="AC18" s="1"/>
      <c r="AD18" s="69">
        <f>AVERAGE(L10:L19,L21:L30,L32:L42)</f>
        <v>6.892</v>
      </c>
      <c r="AE18" s="8">
        <f>MAX(L10:L19,L21:L30,L32:L42)</f>
        <v>11.5</v>
      </c>
      <c r="AF18" s="9">
        <f>MIN(L10:L19,L21:L30,L32:L42)</f>
        <v>3.9</v>
      </c>
      <c r="AG18" s="1"/>
      <c r="AH18" s="81"/>
      <c r="AI18" s="7"/>
      <c r="AJ18" s="8" t="s">
        <v>35</v>
      </c>
      <c r="AK18" s="8">
        <f>COUNTIF(J10:J19,"&gt;=49.9")+COUNTIF(J21:J30,"&gt;=49.9")+COUNTIF(J32:J42,"&gt;=49.9")-COUNTIF(J10:J19,"&gt;61.7")-COUNTIF(J21:J30,"&gt;61.7")-COUNTIF(J32:J42,"&gt;61.7")</f>
        <v>3</v>
      </c>
      <c r="AL18" s="1"/>
    </row>
    <row r="19" spans="1:38" ht="12.75">
      <c r="A19" s="32">
        <v>10</v>
      </c>
      <c r="B19" s="43">
        <v>18.2</v>
      </c>
      <c r="C19" s="44">
        <v>9.2</v>
      </c>
      <c r="D19" s="44">
        <v>9</v>
      </c>
      <c r="E19" s="44">
        <f t="shared" si="0"/>
        <v>9</v>
      </c>
      <c r="F19" s="42">
        <v>13.13</v>
      </c>
      <c r="G19" s="43">
        <v>92</v>
      </c>
      <c r="H19" s="44">
        <v>47</v>
      </c>
      <c r="I19" s="42">
        <v>73</v>
      </c>
      <c r="J19" s="43">
        <v>34</v>
      </c>
      <c r="K19" s="44">
        <v>25.7</v>
      </c>
      <c r="L19" s="44">
        <v>8.4</v>
      </c>
      <c r="M19" s="42">
        <v>5.6</v>
      </c>
      <c r="N19" s="57">
        <v>1018.7</v>
      </c>
      <c r="O19" s="58">
        <v>1016.8</v>
      </c>
      <c r="P19" s="59">
        <v>1017.5</v>
      </c>
      <c r="Q19" s="43">
        <v>0</v>
      </c>
      <c r="R19" s="44">
        <v>51.4</v>
      </c>
      <c r="S19" s="42">
        <v>0</v>
      </c>
      <c r="T19" s="45">
        <v>0.24027777777777778</v>
      </c>
      <c r="U19" s="43">
        <v>1172</v>
      </c>
      <c r="V19" s="42">
        <v>381</v>
      </c>
      <c r="W19" s="43">
        <v>7.7</v>
      </c>
      <c r="X19" s="42">
        <v>3.4</v>
      </c>
      <c r="Y19" s="44">
        <v>0</v>
      </c>
      <c r="Z19" s="44">
        <v>0</v>
      </c>
      <c r="AA19" s="28">
        <v>0</v>
      </c>
      <c r="AB19" s="1" t="s">
        <v>36</v>
      </c>
      <c r="AC19" s="1"/>
      <c r="AD19" s="69">
        <f>AVERAGE(M10:M19,M21:M30,M32:M42)</f>
        <v>4.5360000000000005</v>
      </c>
      <c r="AE19" s="8">
        <f>MAX(M10:M19,M21:M30,M32:M42)</f>
        <v>7.9</v>
      </c>
      <c r="AF19" s="9">
        <f>MIN(M10:M19,M21:M30,M32:M42)</f>
        <v>2.5</v>
      </c>
      <c r="AG19" s="1"/>
      <c r="AH19" s="84" t="s">
        <v>113</v>
      </c>
      <c r="AI19" s="7"/>
      <c r="AJ19" s="16" t="s">
        <v>37</v>
      </c>
      <c r="AK19" s="16">
        <f>COUNTIF(J10:J19,"&gt;=38.8")+COUNTIF(J21:J30,"&gt;=38.8")+COUNTIF(J32:J42,"&gt;=38.8")-COUNTIF(J10:J19,"&gt;49.8")-COUNTIF(J21:J30,"&gt;49.8")-COUNTIF(J32:J42,"&gt;49.8")</f>
        <v>4</v>
      </c>
      <c r="AL19" s="1"/>
    </row>
    <row r="20" spans="1:38" ht="12.75">
      <c r="A20" s="37" t="s">
        <v>1</v>
      </c>
      <c r="B20" s="49">
        <f aca="true" t="shared" si="1" ref="B20:P20">AVERAGE(B10:B19)</f>
        <v>21.589999999999996</v>
      </c>
      <c r="C20" s="50">
        <f t="shared" si="1"/>
        <v>12.43</v>
      </c>
      <c r="D20" s="50">
        <f t="shared" si="1"/>
        <v>11.67</v>
      </c>
      <c r="E20" s="50">
        <f t="shared" si="1"/>
        <v>9.16</v>
      </c>
      <c r="F20" s="51">
        <f t="shared" si="1"/>
        <v>16.06</v>
      </c>
      <c r="G20" s="49">
        <f t="shared" si="1"/>
        <v>95.1</v>
      </c>
      <c r="H20" s="50">
        <f t="shared" si="1"/>
        <v>57.9</v>
      </c>
      <c r="I20" s="51">
        <f t="shared" si="1"/>
        <v>82.2</v>
      </c>
      <c r="J20" s="49">
        <f t="shared" si="1"/>
        <v>31.4</v>
      </c>
      <c r="K20" s="50">
        <f t="shared" si="1"/>
        <v>22.279999999999998</v>
      </c>
      <c r="L20" s="50">
        <f t="shared" si="1"/>
        <v>6.779999999999999</v>
      </c>
      <c r="M20" s="51">
        <f t="shared" si="1"/>
        <v>4.44</v>
      </c>
      <c r="N20" s="49">
        <f t="shared" si="1"/>
        <v>1015.76</v>
      </c>
      <c r="O20" s="50">
        <f t="shared" si="1"/>
        <v>1012.5799999999999</v>
      </c>
      <c r="P20" s="51">
        <f t="shared" si="1"/>
        <v>1014.11</v>
      </c>
      <c r="Q20" s="49">
        <f>AVERAGE(Q10:Q19)</f>
        <v>5.139999999999999</v>
      </c>
      <c r="R20" s="50">
        <f>MAX(R10:R19)</f>
        <v>51.4</v>
      </c>
      <c r="S20" s="51">
        <f aca="true" t="shared" si="2" ref="S20:X20">AVERAGE(S10:S19)</f>
        <v>24.119999999999997</v>
      </c>
      <c r="T20" s="38">
        <f t="shared" si="2"/>
        <v>0.21388888888888888</v>
      </c>
      <c r="U20" s="74">
        <f t="shared" si="2"/>
        <v>1136.5</v>
      </c>
      <c r="V20" s="51">
        <f t="shared" si="2"/>
        <v>336</v>
      </c>
      <c r="W20" s="49">
        <f t="shared" si="2"/>
        <v>8.46</v>
      </c>
      <c r="X20" s="51">
        <f t="shared" si="2"/>
        <v>3.5099999999999993</v>
      </c>
      <c r="Y20" s="50"/>
      <c r="Z20" s="50">
        <f>SUM(Z10:Z19)</f>
        <v>0</v>
      </c>
      <c r="AA20" s="50">
        <f>AVERAGE(AA10:AA19)</f>
        <v>0</v>
      </c>
      <c r="AB20" s="1"/>
      <c r="AC20" s="1"/>
      <c r="AD20" s="69"/>
      <c r="AE20" s="8"/>
      <c r="AF20" s="9"/>
      <c r="AG20" s="1"/>
      <c r="AH20" s="81"/>
      <c r="AI20" s="7"/>
      <c r="AJ20" s="13" t="s">
        <v>38</v>
      </c>
      <c r="AK20" s="13">
        <f>COUNTIF(J10:J19,"&gt;=28.6")+COUNTIF(J21:J30,"&gt;=28.6")+COUNTIF(J32:J42,"&gt;=28.6")-COUNTIF(J10:J19,"&gt;38.7")-COUNTIF(J21:J30,"&gt;38.7")-COUNTIF(J32:J42,"&gt;38.7")</f>
        <v>6</v>
      </c>
      <c r="AL20" s="1"/>
    </row>
    <row r="21" spans="1:38" ht="12.75">
      <c r="A21" s="32">
        <v>11</v>
      </c>
      <c r="B21" s="43">
        <v>19.2</v>
      </c>
      <c r="C21" s="44">
        <v>9.8</v>
      </c>
      <c r="D21" s="44">
        <v>9.8</v>
      </c>
      <c r="E21" s="44">
        <f aca="true" t="shared" si="3" ref="E21:E30">SUM(B21-C21)</f>
        <v>9.399999999999999</v>
      </c>
      <c r="F21" s="42">
        <v>13.79</v>
      </c>
      <c r="G21" s="43">
        <v>91</v>
      </c>
      <c r="H21" s="44">
        <v>53</v>
      </c>
      <c r="I21" s="42">
        <v>76</v>
      </c>
      <c r="J21" s="43">
        <v>26</v>
      </c>
      <c r="K21" s="44">
        <v>19.3</v>
      </c>
      <c r="L21" s="44">
        <v>4.1</v>
      </c>
      <c r="M21" s="42">
        <v>2.5</v>
      </c>
      <c r="N21" s="57">
        <v>1019.1</v>
      </c>
      <c r="O21" s="58">
        <v>1016.6</v>
      </c>
      <c r="P21" s="59">
        <v>1017.8</v>
      </c>
      <c r="Q21" s="43">
        <v>0</v>
      </c>
      <c r="R21" s="44">
        <v>51.4</v>
      </c>
      <c r="S21" s="42">
        <v>0</v>
      </c>
      <c r="T21" s="45">
        <v>0.25277777777777777</v>
      </c>
      <c r="U21" s="43">
        <v>1102</v>
      </c>
      <c r="V21" s="42">
        <v>348</v>
      </c>
      <c r="W21" s="43">
        <v>7.6</v>
      </c>
      <c r="X21" s="42">
        <v>3</v>
      </c>
      <c r="Y21" s="44">
        <v>0</v>
      </c>
      <c r="Z21" s="44">
        <v>0</v>
      </c>
      <c r="AA21" s="28">
        <v>0</v>
      </c>
      <c r="AB21" s="1" t="s">
        <v>39</v>
      </c>
      <c r="AC21" s="1"/>
      <c r="AD21" s="69">
        <f>AVERAGE(N10:N19,N21:N30,N32:N42)</f>
        <v>1018.0322580645161</v>
      </c>
      <c r="AE21" s="8">
        <f>MAX(N10:N19,N21:N30,N32:N42)</f>
        <v>1024.7</v>
      </c>
      <c r="AF21" s="9">
        <f>MIN(N10:N19,N21:N30,N32:N42)</f>
        <v>1011.7</v>
      </c>
      <c r="AG21" s="1"/>
      <c r="AH21" s="81"/>
      <c r="AI21" s="7"/>
      <c r="AJ21" s="19" t="s">
        <v>40</v>
      </c>
      <c r="AK21" s="20">
        <f>COUNTIF(J10:J19,"&gt;=19.5")+COUNTIF(J21:J30,"&gt;=19.5")+COUNTIF(J32:J42,"&gt;=19.5")-COUNTIF(J10:J19,"&gt;28.5")-COUNTIF(J21:J30,"&gt;28.5")-COUNTIF(J32:J42,"&gt;28.5")</f>
        <v>10</v>
      </c>
      <c r="AL21" s="1"/>
    </row>
    <row r="22" spans="1:86" ht="12.75">
      <c r="A22" s="32">
        <v>12</v>
      </c>
      <c r="B22" s="43">
        <v>21.6</v>
      </c>
      <c r="C22" s="44">
        <v>10.6</v>
      </c>
      <c r="D22" s="44">
        <v>10.6</v>
      </c>
      <c r="E22" s="44">
        <f t="shared" si="3"/>
        <v>11.000000000000002</v>
      </c>
      <c r="F22" s="42">
        <v>16.18</v>
      </c>
      <c r="G22" s="43">
        <v>90</v>
      </c>
      <c r="H22" s="44">
        <v>65</v>
      </c>
      <c r="I22" s="42">
        <v>79</v>
      </c>
      <c r="J22" s="43">
        <v>24</v>
      </c>
      <c r="K22" s="44">
        <v>17.3</v>
      </c>
      <c r="L22" s="44">
        <v>3.9</v>
      </c>
      <c r="M22" s="42">
        <v>2.6</v>
      </c>
      <c r="N22" s="57">
        <v>1016.8</v>
      </c>
      <c r="O22" s="58">
        <v>1013.3</v>
      </c>
      <c r="P22" s="59">
        <v>1014.6</v>
      </c>
      <c r="Q22" s="43">
        <v>0</v>
      </c>
      <c r="R22" s="44">
        <v>51.4</v>
      </c>
      <c r="S22" s="42">
        <v>0</v>
      </c>
      <c r="T22" s="45">
        <v>0.06736111111111111</v>
      </c>
      <c r="U22" s="43">
        <v>1083</v>
      </c>
      <c r="V22" s="42">
        <v>211</v>
      </c>
      <c r="W22" s="43">
        <v>9.1</v>
      </c>
      <c r="X22" s="42">
        <v>2.7</v>
      </c>
      <c r="Y22" s="44">
        <v>0</v>
      </c>
      <c r="Z22" s="44">
        <v>0</v>
      </c>
      <c r="AA22" s="28">
        <v>0</v>
      </c>
      <c r="AB22" s="1" t="s">
        <v>41</v>
      </c>
      <c r="AC22" s="1"/>
      <c r="AD22" s="69">
        <f>AVERAGE(O10:O19,O21:O30,O32:O42)</f>
        <v>1013.2387096774194</v>
      </c>
      <c r="AE22" s="8">
        <f>MAX(O10:O19,O21:O30,O32:O42)</f>
        <v>1021.2</v>
      </c>
      <c r="AF22" s="9">
        <f>MIN(O10:O19,O21:O30,O32:O42)</f>
        <v>1001.9</v>
      </c>
      <c r="AG22" s="1"/>
      <c r="AH22" s="81"/>
      <c r="AI22" s="7"/>
      <c r="AJ22" s="12" t="s">
        <v>42</v>
      </c>
      <c r="AK22" s="12">
        <f>COUNTIF(J10:J19,"&gt;=12")+COUNTIF(J21:J30,"&gt;=12")+COUNTIF(J32:J42,"&gt;=12")-COUNTIF(J10:J19,"&gt;19.4")-COUNTIF(J21:J30,"&gt;19.4")-COUNTIF(J32:J42,"&gt;19.4")</f>
        <v>2</v>
      </c>
      <c r="AL22" s="1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</row>
    <row r="23" spans="1:86" ht="12.75">
      <c r="A23" s="32">
        <v>13</v>
      </c>
      <c r="B23" s="43">
        <v>25.8</v>
      </c>
      <c r="C23" s="44">
        <v>15.5</v>
      </c>
      <c r="D23" s="44">
        <v>15.5</v>
      </c>
      <c r="E23" s="44">
        <f t="shared" si="3"/>
        <v>10.3</v>
      </c>
      <c r="F23" s="42">
        <v>20.59</v>
      </c>
      <c r="G23" s="43">
        <v>88</v>
      </c>
      <c r="H23" s="44">
        <v>57</v>
      </c>
      <c r="I23" s="42">
        <v>75</v>
      </c>
      <c r="J23" s="43">
        <v>23</v>
      </c>
      <c r="K23" s="44">
        <v>17.3</v>
      </c>
      <c r="L23" s="44">
        <v>4.9</v>
      </c>
      <c r="M23" s="42">
        <v>3.3</v>
      </c>
      <c r="N23" s="57">
        <v>1014.3</v>
      </c>
      <c r="O23" s="58">
        <v>1009.7</v>
      </c>
      <c r="P23" s="59">
        <v>1012.4</v>
      </c>
      <c r="Q23" s="43">
        <v>0</v>
      </c>
      <c r="R23" s="44">
        <v>51.4</v>
      </c>
      <c r="S23" s="42">
        <v>0</v>
      </c>
      <c r="T23" s="45">
        <v>0.3430555555555555</v>
      </c>
      <c r="U23" s="43">
        <v>1014</v>
      </c>
      <c r="V23" s="42">
        <v>417</v>
      </c>
      <c r="W23" s="43">
        <v>8.5</v>
      </c>
      <c r="X23" s="42">
        <v>4.1</v>
      </c>
      <c r="Y23" s="44">
        <v>0</v>
      </c>
      <c r="Z23" s="44">
        <v>0</v>
      </c>
      <c r="AA23" s="28">
        <v>0</v>
      </c>
      <c r="AB23" s="1" t="s">
        <v>43</v>
      </c>
      <c r="AC23" s="1"/>
      <c r="AD23" s="69">
        <f>AVERAGE(P10:P19,P21:P30,P32:P42)</f>
        <v>1015.6967741935483</v>
      </c>
      <c r="AE23" s="8">
        <f>MAX(P10:P19,P21:P30,P32:P42)</f>
        <v>1023.4</v>
      </c>
      <c r="AF23" s="9">
        <f>MIN(P10:P19,P21:P30,P32:P42)</f>
        <v>1007.8</v>
      </c>
      <c r="AG23" s="1"/>
      <c r="AH23" s="81"/>
      <c r="AI23" s="7"/>
      <c r="AJ23" s="7" t="s">
        <v>44</v>
      </c>
      <c r="AK23" s="7">
        <f>COUNTIF(J10:J19,"&lt;=11.9")+COUNTIF(J21:J30,"&lt;=11.9")+COUNTIF(J32:J42,"&lt;=11.9")</f>
        <v>0</v>
      </c>
      <c r="AL23" s="1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</row>
    <row r="24" spans="1:86" ht="12.75">
      <c r="A24" s="32">
        <v>14</v>
      </c>
      <c r="B24" s="43">
        <v>25.7</v>
      </c>
      <c r="C24" s="44">
        <v>17.6</v>
      </c>
      <c r="D24" s="44">
        <v>17.6</v>
      </c>
      <c r="E24" s="44">
        <f t="shared" si="3"/>
        <v>8.099999999999998</v>
      </c>
      <c r="F24" s="42">
        <v>21.42</v>
      </c>
      <c r="G24" s="43">
        <v>93</v>
      </c>
      <c r="H24" s="44">
        <v>53</v>
      </c>
      <c r="I24" s="42">
        <v>76</v>
      </c>
      <c r="J24" s="43">
        <v>27</v>
      </c>
      <c r="K24" s="44">
        <v>19.3</v>
      </c>
      <c r="L24" s="44">
        <v>7.4</v>
      </c>
      <c r="M24" s="42">
        <v>4.5</v>
      </c>
      <c r="N24" s="57">
        <v>1013.9</v>
      </c>
      <c r="O24" s="58">
        <v>1009.5</v>
      </c>
      <c r="P24" s="59">
        <v>1011.6</v>
      </c>
      <c r="Q24" s="43">
        <v>2.2</v>
      </c>
      <c r="R24" s="44">
        <v>53.6</v>
      </c>
      <c r="S24" s="42">
        <v>39.4</v>
      </c>
      <c r="T24" s="45">
        <v>0.3611111111111111</v>
      </c>
      <c r="U24" s="43">
        <v>1123</v>
      </c>
      <c r="V24" s="42">
        <v>412</v>
      </c>
      <c r="W24" s="43">
        <v>8.8</v>
      </c>
      <c r="X24" s="42">
        <v>3.6</v>
      </c>
      <c r="Y24" s="44">
        <v>0</v>
      </c>
      <c r="Z24" s="44">
        <v>0</v>
      </c>
      <c r="AA24" s="28">
        <v>0</v>
      </c>
      <c r="AB24" s="1"/>
      <c r="AC24" s="1"/>
      <c r="AD24" s="69"/>
      <c r="AE24" s="8"/>
      <c r="AF24" s="9"/>
      <c r="AG24" s="1"/>
      <c r="AH24" s="81"/>
      <c r="AI24" s="7"/>
      <c r="AJ24" s="1"/>
      <c r="AK24" s="1"/>
      <c r="AL24" s="1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</row>
    <row r="25" spans="1:86" ht="12.75">
      <c r="A25" s="32">
        <v>15</v>
      </c>
      <c r="B25" s="43">
        <v>24</v>
      </c>
      <c r="C25" s="44">
        <v>16.3</v>
      </c>
      <c r="D25" s="44">
        <v>16</v>
      </c>
      <c r="E25" s="44">
        <f t="shared" si="3"/>
        <v>7.699999999999999</v>
      </c>
      <c r="F25" s="42">
        <v>19.19</v>
      </c>
      <c r="G25" s="43">
        <v>97</v>
      </c>
      <c r="H25" s="44">
        <v>70</v>
      </c>
      <c r="I25" s="42">
        <v>89</v>
      </c>
      <c r="J25" s="43">
        <v>24</v>
      </c>
      <c r="K25" s="44">
        <v>14.5</v>
      </c>
      <c r="L25" s="44">
        <v>5.2</v>
      </c>
      <c r="M25" s="42">
        <v>3.3</v>
      </c>
      <c r="N25" s="57">
        <v>1020.2</v>
      </c>
      <c r="O25" s="58">
        <v>1013.3</v>
      </c>
      <c r="P25" s="59">
        <v>1017.1</v>
      </c>
      <c r="Q25" s="43">
        <v>7.4</v>
      </c>
      <c r="R25" s="44">
        <v>61</v>
      </c>
      <c r="S25" s="42">
        <v>45.4</v>
      </c>
      <c r="T25" s="45">
        <v>0.09027777777777778</v>
      </c>
      <c r="U25" s="43">
        <v>1158</v>
      </c>
      <c r="V25" s="42">
        <v>257</v>
      </c>
      <c r="W25" s="43">
        <v>8.6</v>
      </c>
      <c r="X25" s="42">
        <v>3.1</v>
      </c>
      <c r="Y25" s="44">
        <v>0</v>
      </c>
      <c r="Z25" s="44">
        <v>0</v>
      </c>
      <c r="AA25" s="28">
        <v>0</v>
      </c>
      <c r="AB25" s="1" t="s">
        <v>45</v>
      </c>
      <c r="AC25" s="1"/>
      <c r="AD25" s="69">
        <f>AVERAGE(Q10:Q19,Q21:Q30,Q32:Q42)</f>
        <v>5.096774193548388</v>
      </c>
      <c r="AE25" s="8">
        <f>MAX(Q10:Q19,Q21:Q30,Q32:Q42)</f>
        <v>42</v>
      </c>
      <c r="AF25" s="9">
        <f>MIN(Q10:Q19,Q21:Q30,Q32:Q42)</f>
        <v>0</v>
      </c>
      <c r="AG25" s="1" t="s">
        <v>46</v>
      </c>
      <c r="AH25" s="83" t="s">
        <v>89</v>
      </c>
      <c r="AI25" s="7"/>
      <c r="AJ25" s="2" t="s">
        <v>47</v>
      </c>
      <c r="AK25" s="1"/>
      <c r="AL25" s="1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</row>
    <row r="26" spans="1:86" ht="12.75">
      <c r="A26" s="32">
        <v>16</v>
      </c>
      <c r="B26" s="43">
        <v>27.1</v>
      </c>
      <c r="C26" s="44">
        <v>16.2</v>
      </c>
      <c r="D26" s="44">
        <v>16</v>
      </c>
      <c r="E26" s="44">
        <f t="shared" si="3"/>
        <v>10.900000000000002</v>
      </c>
      <c r="F26" s="42">
        <v>21.42</v>
      </c>
      <c r="G26" s="43">
        <v>97</v>
      </c>
      <c r="H26" s="44">
        <v>54</v>
      </c>
      <c r="I26" s="42">
        <v>81</v>
      </c>
      <c r="J26" s="43">
        <v>18</v>
      </c>
      <c r="K26" s="44">
        <v>11.3</v>
      </c>
      <c r="L26" s="44">
        <v>5</v>
      </c>
      <c r="M26" s="42">
        <v>3.1</v>
      </c>
      <c r="N26" s="57">
        <v>1021.2</v>
      </c>
      <c r="O26" s="58">
        <v>1012.9</v>
      </c>
      <c r="P26" s="59">
        <v>1019</v>
      </c>
      <c r="Q26" s="43">
        <v>0.4</v>
      </c>
      <c r="R26" s="44">
        <v>61.4</v>
      </c>
      <c r="S26" s="42">
        <v>1.4</v>
      </c>
      <c r="T26" s="45">
        <v>0.40277777777777773</v>
      </c>
      <c r="U26" s="43">
        <v>1007</v>
      </c>
      <c r="V26" s="42">
        <v>447</v>
      </c>
      <c r="W26" s="43">
        <v>8.4</v>
      </c>
      <c r="X26" s="42">
        <v>4.2</v>
      </c>
      <c r="Y26" s="44">
        <v>0</v>
      </c>
      <c r="Z26" s="44">
        <v>0</v>
      </c>
      <c r="AA26" s="28">
        <v>0</v>
      </c>
      <c r="AB26" s="1" t="s">
        <v>48</v>
      </c>
      <c r="AC26" s="1"/>
      <c r="AD26" s="21"/>
      <c r="AE26" s="7"/>
      <c r="AF26" s="7"/>
      <c r="AG26" s="22">
        <f>MAX(R10:R19,R21:R30,R32:R42)</f>
        <v>158</v>
      </c>
      <c r="AH26" s="84" t="s">
        <v>114</v>
      </c>
      <c r="AI26" s="7"/>
      <c r="AJ26" s="11" t="s">
        <v>98</v>
      </c>
      <c r="AK26" s="11">
        <f>COUNTIF(AA10:AA19,"&gt;0")+COUNTIF(AA21:AA30,"&gt;0")+COUNTIF(AA32:AA42,"&gt;0")</f>
        <v>0</v>
      </c>
      <c r="AL26" s="1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</row>
    <row r="27" spans="1:86" ht="12.75">
      <c r="A27" s="32">
        <v>17</v>
      </c>
      <c r="B27" s="43">
        <v>20.5</v>
      </c>
      <c r="C27" s="44">
        <v>9.5</v>
      </c>
      <c r="D27" s="44">
        <v>8</v>
      </c>
      <c r="E27" s="44">
        <f t="shared" si="3"/>
        <v>11</v>
      </c>
      <c r="F27" s="42">
        <v>15.18</v>
      </c>
      <c r="G27" s="43">
        <v>97</v>
      </c>
      <c r="H27" s="44">
        <v>81</v>
      </c>
      <c r="I27" s="42">
        <v>92</v>
      </c>
      <c r="J27" s="43">
        <v>53</v>
      </c>
      <c r="K27" s="44">
        <v>36.1</v>
      </c>
      <c r="L27" s="44">
        <v>8.5</v>
      </c>
      <c r="M27" s="42">
        <v>5.6</v>
      </c>
      <c r="N27" s="57">
        <v>1014.8</v>
      </c>
      <c r="O27" s="58">
        <v>1008.1</v>
      </c>
      <c r="P27" s="59">
        <v>1012.4</v>
      </c>
      <c r="Q27" s="43">
        <v>42</v>
      </c>
      <c r="R27" s="44">
        <v>103.4</v>
      </c>
      <c r="S27" s="42">
        <v>145.8</v>
      </c>
      <c r="T27" s="45">
        <v>0.010416666666666666</v>
      </c>
      <c r="U27" s="43">
        <v>1232</v>
      </c>
      <c r="V27" s="42">
        <v>94</v>
      </c>
      <c r="W27" s="43">
        <v>7.1</v>
      </c>
      <c r="X27" s="42">
        <v>2</v>
      </c>
      <c r="Y27" s="44">
        <v>0</v>
      </c>
      <c r="Z27" s="44">
        <v>0</v>
      </c>
      <c r="AA27" s="28">
        <v>0</v>
      </c>
      <c r="AB27" s="1" t="s">
        <v>49</v>
      </c>
      <c r="AC27" s="1"/>
      <c r="AD27" s="69">
        <f>AVERAGE(S10:S19,S21:S30,S32:S42)</f>
        <v>54.18064516129032</v>
      </c>
      <c r="AE27" s="8">
        <f>MAX(S10:S19,S21:S30,S32:S42)</f>
        <v>886.2</v>
      </c>
      <c r="AF27" s="9">
        <f>MIN(S10:S19,S21:S30,S32:S42)</f>
        <v>0</v>
      </c>
      <c r="AG27" s="1"/>
      <c r="AH27" s="81"/>
      <c r="AI27" s="7"/>
      <c r="AJ27" s="86" t="s">
        <v>99</v>
      </c>
      <c r="AK27" s="86">
        <f>COUNTIF(AA10:AA19,"&gt;=1")+COUNTIF(AA21:AA30,"&gt;=1")+COUNTIF(AA32:AA42,"&gt;=1")</f>
        <v>0</v>
      </c>
      <c r="AL27" s="1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</row>
    <row r="28" spans="1:86" ht="12.75">
      <c r="A28" s="32">
        <v>18</v>
      </c>
      <c r="B28" s="43">
        <v>12.7</v>
      </c>
      <c r="C28" s="44">
        <v>8.6</v>
      </c>
      <c r="D28" s="44">
        <v>6</v>
      </c>
      <c r="E28" s="44">
        <f t="shared" si="3"/>
        <v>4.1</v>
      </c>
      <c r="F28" s="42">
        <v>9.96</v>
      </c>
      <c r="G28" s="43">
        <v>97</v>
      </c>
      <c r="H28" s="44">
        <v>82</v>
      </c>
      <c r="I28" s="42">
        <v>93</v>
      </c>
      <c r="J28" s="43">
        <v>39</v>
      </c>
      <c r="K28" s="44">
        <v>30.1</v>
      </c>
      <c r="L28" s="44">
        <v>10.7</v>
      </c>
      <c r="M28" s="42">
        <v>7.2</v>
      </c>
      <c r="N28" s="57">
        <v>1021.1</v>
      </c>
      <c r="O28" s="58">
        <v>1014</v>
      </c>
      <c r="P28" s="59">
        <v>1017.2</v>
      </c>
      <c r="Q28" s="43">
        <v>14</v>
      </c>
      <c r="R28" s="44">
        <v>117.4</v>
      </c>
      <c r="S28" s="42">
        <v>46.8</v>
      </c>
      <c r="T28" s="45">
        <v>0.015277777777777777</v>
      </c>
      <c r="U28" s="43">
        <v>492</v>
      </c>
      <c r="V28" s="42">
        <v>96</v>
      </c>
      <c r="W28" s="43">
        <v>4.6</v>
      </c>
      <c r="X28" s="42">
        <v>1.2</v>
      </c>
      <c r="Y28" s="44">
        <v>0</v>
      </c>
      <c r="Z28" s="44">
        <v>0</v>
      </c>
      <c r="AA28" s="28">
        <v>0</v>
      </c>
      <c r="AB28" s="1"/>
      <c r="AC28" s="1"/>
      <c r="AD28" s="69"/>
      <c r="AE28" s="8"/>
      <c r="AF28" s="9"/>
      <c r="AG28" s="1"/>
      <c r="AH28" s="81"/>
      <c r="AI28" s="7"/>
      <c r="AJ28" s="87" t="s">
        <v>100</v>
      </c>
      <c r="AK28" s="87">
        <f>COUNTIF(AA10:AA19,"&gt;=5")+COUNTIF(AA21:AA30,"&gt;=5")+COUNTIF(AA32:AA42,"&gt;=5")</f>
        <v>0</v>
      </c>
      <c r="AL28" s="1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</row>
    <row r="29" spans="1:86" ht="12.75">
      <c r="A29" s="32">
        <v>19</v>
      </c>
      <c r="B29" s="43">
        <v>19.4</v>
      </c>
      <c r="C29" s="44">
        <v>8.3</v>
      </c>
      <c r="D29" s="44">
        <v>8</v>
      </c>
      <c r="E29" s="44">
        <f t="shared" si="3"/>
        <v>11.099999999999998</v>
      </c>
      <c r="F29" s="42">
        <v>13.42</v>
      </c>
      <c r="G29" s="43">
        <v>94</v>
      </c>
      <c r="H29" s="44">
        <v>58</v>
      </c>
      <c r="I29" s="42">
        <v>79</v>
      </c>
      <c r="J29" s="43">
        <v>45</v>
      </c>
      <c r="K29" s="44">
        <v>33.5</v>
      </c>
      <c r="L29" s="44">
        <v>10.4</v>
      </c>
      <c r="M29" s="42">
        <v>7</v>
      </c>
      <c r="N29" s="57">
        <v>1021.2</v>
      </c>
      <c r="O29" s="58">
        <v>1019.3</v>
      </c>
      <c r="P29" s="59">
        <v>1020.2</v>
      </c>
      <c r="Q29" s="43">
        <v>0.2</v>
      </c>
      <c r="R29" s="44">
        <v>117.6</v>
      </c>
      <c r="S29" s="42">
        <v>0.2</v>
      </c>
      <c r="T29" s="45">
        <v>0.29375</v>
      </c>
      <c r="U29" s="43">
        <v>1209</v>
      </c>
      <c r="V29" s="42">
        <v>388</v>
      </c>
      <c r="W29" s="43">
        <v>8.6</v>
      </c>
      <c r="X29" s="42">
        <v>3.5</v>
      </c>
      <c r="Y29" s="44">
        <v>0</v>
      </c>
      <c r="Z29" s="44">
        <v>0</v>
      </c>
      <c r="AA29" s="28">
        <v>0</v>
      </c>
      <c r="AB29" s="1" t="s">
        <v>50</v>
      </c>
      <c r="AC29" s="1"/>
      <c r="AD29" s="70">
        <f>AVERAGE(T10:T19,T21:T30,T32:T42)</f>
        <v>0.24706541218637992</v>
      </c>
      <c r="AE29" s="23">
        <f>MAX(T10:T19,T21:T30,T32:T42)</f>
        <v>0.4777777777777778</v>
      </c>
      <c r="AF29" s="24">
        <f>MIN(T10:T19,T21:T30,T32:T42)</f>
        <v>0.010416666666666666</v>
      </c>
      <c r="AG29" s="26" t="s">
        <v>86</v>
      </c>
      <c r="AH29" s="84" t="s">
        <v>87</v>
      </c>
      <c r="AI29" s="7"/>
      <c r="AJ29" s="88" t="s">
        <v>101</v>
      </c>
      <c r="AK29" s="88">
        <f>COUNTIF(AA10:AA19,"&gt;=10")+COUNTIF(AA21:AA30,"&gt;=10")+COUNTIF(AA32:AA42,"&gt;=10")</f>
        <v>0</v>
      </c>
      <c r="AL29" s="1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</row>
    <row r="30" spans="1:86" ht="12.75">
      <c r="A30" s="32">
        <v>20</v>
      </c>
      <c r="B30" s="43">
        <v>23</v>
      </c>
      <c r="C30" s="44">
        <v>11.7</v>
      </c>
      <c r="D30" s="44">
        <v>11.7</v>
      </c>
      <c r="E30" s="44">
        <f t="shared" si="3"/>
        <v>11.3</v>
      </c>
      <c r="F30" s="42">
        <v>17.12</v>
      </c>
      <c r="G30" s="43">
        <v>88</v>
      </c>
      <c r="H30" s="44">
        <v>38</v>
      </c>
      <c r="I30" s="42">
        <v>68</v>
      </c>
      <c r="J30" s="43">
        <v>40</v>
      </c>
      <c r="K30" s="44">
        <v>30.3</v>
      </c>
      <c r="L30" s="44">
        <v>9</v>
      </c>
      <c r="M30" s="42">
        <v>5.9</v>
      </c>
      <c r="N30" s="57">
        <v>1021.3</v>
      </c>
      <c r="O30" s="58">
        <v>1017.4</v>
      </c>
      <c r="P30" s="59">
        <v>1019.6</v>
      </c>
      <c r="Q30" s="43">
        <v>0</v>
      </c>
      <c r="R30" s="44">
        <v>117.6</v>
      </c>
      <c r="S30" s="42">
        <v>0</v>
      </c>
      <c r="T30" s="45">
        <v>0.425</v>
      </c>
      <c r="U30" s="43">
        <v>1079</v>
      </c>
      <c r="V30" s="42">
        <v>451</v>
      </c>
      <c r="W30" s="43">
        <v>8.3</v>
      </c>
      <c r="X30" s="42">
        <v>3.8</v>
      </c>
      <c r="Y30" s="44">
        <v>0</v>
      </c>
      <c r="Z30" s="44">
        <v>0</v>
      </c>
      <c r="AA30" s="28">
        <v>0</v>
      </c>
      <c r="AB30" s="1"/>
      <c r="AC30" s="1"/>
      <c r="AD30" s="69"/>
      <c r="AE30" s="8"/>
      <c r="AF30" s="9"/>
      <c r="AG30" s="1"/>
      <c r="AH30" s="7"/>
      <c r="AI30" s="7"/>
      <c r="AJ30" s="22" t="s">
        <v>102</v>
      </c>
      <c r="AK30" s="22">
        <f>COUNTIF(AA10:AA19,"&gt;=15")+COUNTIF(AA21:AA30,"&gt;=15")+COUNTIF(AA32:AA42,"&gt;=15")</f>
        <v>0</v>
      </c>
      <c r="AL30" s="1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</row>
    <row r="31" spans="1:86" ht="12.75">
      <c r="A31" s="39" t="s">
        <v>2</v>
      </c>
      <c r="B31" s="52">
        <f aca="true" t="shared" si="4" ref="B31:Q31">AVERAGE(B21:B30)</f>
        <v>21.9</v>
      </c>
      <c r="C31" s="54">
        <f t="shared" si="4"/>
        <v>12.41</v>
      </c>
      <c r="D31" s="54">
        <f t="shared" si="4"/>
        <v>11.92</v>
      </c>
      <c r="E31" s="54">
        <f t="shared" si="4"/>
        <v>9.489999999999998</v>
      </c>
      <c r="F31" s="53">
        <f t="shared" si="4"/>
        <v>16.827</v>
      </c>
      <c r="G31" s="52">
        <f t="shared" si="4"/>
        <v>93.2</v>
      </c>
      <c r="H31" s="54">
        <f t="shared" si="4"/>
        <v>61.1</v>
      </c>
      <c r="I31" s="53">
        <f t="shared" si="4"/>
        <v>80.8</v>
      </c>
      <c r="J31" s="52">
        <f t="shared" si="4"/>
        <v>31.9</v>
      </c>
      <c r="K31" s="54">
        <f t="shared" si="4"/>
        <v>22.9</v>
      </c>
      <c r="L31" s="54">
        <f t="shared" si="4"/>
        <v>6.909999999999999</v>
      </c>
      <c r="M31" s="53">
        <f t="shared" si="4"/>
        <v>4.5</v>
      </c>
      <c r="N31" s="52">
        <f t="shared" si="4"/>
        <v>1018.39</v>
      </c>
      <c r="O31" s="54">
        <f t="shared" si="4"/>
        <v>1013.4100000000001</v>
      </c>
      <c r="P31" s="53">
        <f t="shared" si="4"/>
        <v>1016.1899999999999</v>
      </c>
      <c r="Q31" s="52">
        <f t="shared" si="4"/>
        <v>6.62</v>
      </c>
      <c r="R31" s="54">
        <f>SUM(R30-R19)</f>
        <v>66.19999999999999</v>
      </c>
      <c r="S31" s="53">
        <f aca="true" t="shared" si="5" ref="S31:X31">AVERAGE(S21:S30)</f>
        <v>27.9</v>
      </c>
      <c r="T31" s="40">
        <f t="shared" si="5"/>
        <v>0.22618055555555552</v>
      </c>
      <c r="U31" s="75">
        <f t="shared" si="5"/>
        <v>1049.9</v>
      </c>
      <c r="V31" s="53">
        <f t="shared" si="5"/>
        <v>312.1</v>
      </c>
      <c r="W31" s="52">
        <f t="shared" si="5"/>
        <v>7.959999999999999</v>
      </c>
      <c r="X31" s="53">
        <f t="shared" si="5"/>
        <v>3.12</v>
      </c>
      <c r="Y31" s="54"/>
      <c r="Z31" s="54">
        <f>SUM(Z21:Z30)</f>
        <v>0</v>
      </c>
      <c r="AA31" s="54">
        <f>AVERAGE(AA21:AA30)</f>
        <v>0</v>
      </c>
      <c r="AB31" s="1" t="s">
        <v>51</v>
      </c>
      <c r="AC31" s="1"/>
      <c r="AD31" s="69">
        <f>AVERAGE(U10:U19,U21:U30,U32:U42)</f>
        <v>1069.8387096774193</v>
      </c>
      <c r="AE31" s="8">
        <f>MAX(U10:U19,U21:U30,U32:U42)</f>
        <v>1325</v>
      </c>
      <c r="AF31" s="9">
        <f>MIN(U10:U19,U21:U30,U32:U42)</f>
        <v>492</v>
      </c>
      <c r="AG31" s="1"/>
      <c r="AH31" s="1"/>
      <c r="AI31" s="1"/>
      <c r="AJ31" s="89" t="s">
        <v>103</v>
      </c>
      <c r="AK31" s="89">
        <f>COUNTIF(AA10:AA19,"&gt;=20")+COUNTIF(AA21:AA30,"&gt;=20")+COUNTIF(AA32:AA42,"&gt;=20")</f>
        <v>0</v>
      </c>
      <c r="AL31" s="1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</row>
    <row r="32" spans="1:86" ht="12.75">
      <c r="A32" s="32">
        <v>21</v>
      </c>
      <c r="B32" s="43">
        <v>26.7</v>
      </c>
      <c r="C32" s="44">
        <v>14.3</v>
      </c>
      <c r="D32" s="44">
        <v>14</v>
      </c>
      <c r="E32" s="44">
        <f aca="true" t="shared" si="6" ref="E32:E40">SUM(B32-C32)</f>
        <v>12.399999999999999</v>
      </c>
      <c r="F32" s="42">
        <v>20.41</v>
      </c>
      <c r="G32" s="43">
        <v>86</v>
      </c>
      <c r="H32" s="44">
        <v>41</v>
      </c>
      <c r="I32" s="42">
        <v>66</v>
      </c>
      <c r="J32" s="43">
        <v>21</v>
      </c>
      <c r="K32" s="44">
        <v>16</v>
      </c>
      <c r="L32" s="44">
        <v>4.2</v>
      </c>
      <c r="M32" s="42">
        <v>2.6</v>
      </c>
      <c r="N32" s="57">
        <v>1017.7</v>
      </c>
      <c r="O32" s="58">
        <v>1011.7</v>
      </c>
      <c r="P32" s="59">
        <v>1015.1</v>
      </c>
      <c r="Q32" s="43">
        <v>1</v>
      </c>
      <c r="R32" s="44">
        <v>118.6</v>
      </c>
      <c r="S32" s="42">
        <v>51.6</v>
      </c>
      <c r="T32" s="45">
        <v>0.42430555555555555</v>
      </c>
      <c r="U32" s="43">
        <v>1042</v>
      </c>
      <c r="V32" s="42">
        <v>440</v>
      </c>
      <c r="W32" s="43">
        <v>8.2</v>
      </c>
      <c r="X32" s="42">
        <v>3.9</v>
      </c>
      <c r="Y32" s="44">
        <v>0</v>
      </c>
      <c r="Z32" s="44">
        <v>0</v>
      </c>
      <c r="AA32" s="28">
        <v>0</v>
      </c>
      <c r="AB32" s="1" t="s">
        <v>52</v>
      </c>
      <c r="AC32" s="1"/>
      <c r="AD32" s="69">
        <f>AVERAGE(V10:V19,V21:V30,V32:V42)</f>
        <v>341.19354838709677</v>
      </c>
      <c r="AE32" s="8">
        <f>MAX(V10:V19,V21:V30,V32:V42)</f>
        <v>506</v>
      </c>
      <c r="AF32" s="9">
        <f>MIN(V10:V19,V21:V30,V32:V42)</f>
        <v>94</v>
      </c>
      <c r="AG32" s="1"/>
      <c r="AH32" s="7"/>
      <c r="AI32" s="1"/>
      <c r="AJ32" s="10" t="s">
        <v>104</v>
      </c>
      <c r="AK32" s="10">
        <f>COUNTIF(AA10:AA19,"&gt;=30")+COUNTIF(AA21:AA30,"&gt;=30")+COUNTIF(AA32:AA42,"&gt;=30")</f>
        <v>0</v>
      </c>
      <c r="AL32" s="1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</row>
    <row r="33" spans="1:86" ht="12.75">
      <c r="A33" s="32">
        <v>22</v>
      </c>
      <c r="B33" s="43">
        <v>24.8</v>
      </c>
      <c r="C33" s="44">
        <v>16.9</v>
      </c>
      <c r="D33" s="44">
        <v>16.9</v>
      </c>
      <c r="E33" s="44">
        <f t="shared" si="6"/>
        <v>7.900000000000002</v>
      </c>
      <c r="F33" s="42">
        <v>20.09</v>
      </c>
      <c r="G33" s="43">
        <v>81</v>
      </c>
      <c r="H33" s="44">
        <v>48</v>
      </c>
      <c r="I33" s="42">
        <v>69</v>
      </c>
      <c r="J33" s="43">
        <v>29</v>
      </c>
      <c r="K33" s="44">
        <v>21.9</v>
      </c>
      <c r="L33" s="44">
        <v>6.1</v>
      </c>
      <c r="M33" s="42">
        <v>3.9</v>
      </c>
      <c r="N33" s="57">
        <v>1014.2</v>
      </c>
      <c r="O33" s="58">
        <v>1007.8</v>
      </c>
      <c r="P33" s="59">
        <v>1010.7</v>
      </c>
      <c r="Q33" s="43">
        <v>0.6</v>
      </c>
      <c r="R33" s="44">
        <v>119.2</v>
      </c>
      <c r="S33" s="42">
        <v>0.2</v>
      </c>
      <c r="T33" s="45">
        <v>0.09583333333333333</v>
      </c>
      <c r="U33" s="43">
        <v>963</v>
      </c>
      <c r="V33" s="42">
        <v>227</v>
      </c>
      <c r="W33" s="43">
        <v>6.8</v>
      </c>
      <c r="X33" s="42">
        <v>2.2</v>
      </c>
      <c r="Y33" s="44">
        <v>0</v>
      </c>
      <c r="Z33" s="44">
        <v>0</v>
      </c>
      <c r="AA33" s="28">
        <v>0</v>
      </c>
      <c r="AB33" s="1"/>
      <c r="AC33" s="1"/>
      <c r="AD33" s="69"/>
      <c r="AE33" s="8"/>
      <c r="AF33" s="9"/>
      <c r="AG33" s="1"/>
      <c r="AH33" s="1"/>
      <c r="AI33" s="1"/>
      <c r="AJ33" s="9" t="s">
        <v>105</v>
      </c>
      <c r="AK33" s="9">
        <f>COUNTIF(AA10:AA19,"&gt;=40")+COUNTIF(AA21:AA30,"&gt;=40")+COUNTIF(AA32:AA42,"&gt;=40")</f>
        <v>0</v>
      </c>
      <c r="AL33" s="1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</row>
    <row r="34" spans="1:86" ht="12.75">
      <c r="A34" s="32" t="s">
        <v>82</v>
      </c>
      <c r="B34" s="43">
        <v>24.7</v>
      </c>
      <c r="C34" s="44">
        <v>15.3</v>
      </c>
      <c r="D34" s="44">
        <v>15.3</v>
      </c>
      <c r="E34" s="44">
        <f t="shared" si="6"/>
        <v>9.399999999999999</v>
      </c>
      <c r="F34" s="42">
        <v>19.48</v>
      </c>
      <c r="G34" s="43">
        <v>96</v>
      </c>
      <c r="H34" s="44">
        <v>46</v>
      </c>
      <c r="I34" s="42">
        <v>77</v>
      </c>
      <c r="J34" s="43">
        <v>58</v>
      </c>
      <c r="K34" s="44">
        <v>38.6</v>
      </c>
      <c r="L34" s="44">
        <v>6.9</v>
      </c>
      <c r="M34" s="42">
        <v>4.7</v>
      </c>
      <c r="N34" s="57">
        <v>1015.1</v>
      </c>
      <c r="O34" s="58">
        <v>1001.9</v>
      </c>
      <c r="P34" s="59">
        <v>1007.8</v>
      </c>
      <c r="Q34" s="43">
        <v>16.8</v>
      </c>
      <c r="R34" s="44">
        <v>136</v>
      </c>
      <c r="S34" s="42">
        <v>886.2</v>
      </c>
      <c r="T34" s="45">
        <v>0.11805555555555557</v>
      </c>
      <c r="U34" s="43">
        <v>879</v>
      </c>
      <c r="V34" s="42">
        <v>222</v>
      </c>
      <c r="W34" s="43">
        <v>6.3</v>
      </c>
      <c r="X34" s="42">
        <v>2.4</v>
      </c>
      <c r="Y34" s="44">
        <v>0</v>
      </c>
      <c r="Z34" s="44">
        <v>0</v>
      </c>
      <c r="AA34" s="28">
        <v>0</v>
      </c>
      <c r="AB34" s="1" t="s">
        <v>53</v>
      </c>
      <c r="AC34" s="1"/>
      <c r="AD34" s="69">
        <f>AVERAGE(W10:W19,W21:W30,W32:W42)</f>
        <v>7.906451612903226</v>
      </c>
      <c r="AE34" s="8">
        <f>MAX(W10:W19,W21:W30,W32:W42)</f>
        <v>9.8</v>
      </c>
      <c r="AF34" s="9">
        <f>MIN(W10:W19,W21:W30,W32:W42)</f>
        <v>4.6</v>
      </c>
      <c r="AG34" s="1"/>
      <c r="AH34" s="1"/>
      <c r="AI34" s="1"/>
      <c r="AJ34" s="25" t="s">
        <v>106</v>
      </c>
      <c r="AK34" s="25">
        <f>COUNTIF(AA10:AA19,"&gt;=50")+COUNTIF(AA21:AA30,"&gt;=50")+COUNTIF(AA32:AA42,"&gt;=50")</f>
        <v>0</v>
      </c>
      <c r="AL34" s="1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</row>
    <row r="35" spans="1:86" ht="12.75">
      <c r="A35" s="32">
        <v>24</v>
      </c>
      <c r="B35" s="43">
        <v>21.1</v>
      </c>
      <c r="C35" s="44">
        <v>13.1</v>
      </c>
      <c r="D35" s="44">
        <v>13</v>
      </c>
      <c r="E35" s="44">
        <f t="shared" si="6"/>
        <v>8.000000000000002</v>
      </c>
      <c r="F35" s="42">
        <v>16.39</v>
      </c>
      <c r="G35" s="43">
        <v>97</v>
      </c>
      <c r="H35" s="44">
        <v>51</v>
      </c>
      <c r="I35" s="42">
        <v>82</v>
      </c>
      <c r="J35" s="77" t="s">
        <v>84</v>
      </c>
      <c r="K35" s="78" t="s">
        <v>84</v>
      </c>
      <c r="L35" s="78" t="s">
        <v>84</v>
      </c>
      <c r="M35" s="79" t="s">
        <v>84</v>
      </c>
      <c r="N35" s="57">
        <v>1021.3</v>
      </c>
      <c r="O35" s="58">
        <v>1014.8</v>
      </c>
      <c r="P35" s="59">
        <v>1016.2</v>
      </c>
      <c r="Q35" s="43">
        <v>3.8</v>
      </c>
      <c r="R35" s="44">
        <v>139.8</v>
      </c>
      <c r="S35" s="42">
        <v>22.6</v>
      </c>
      <c r="T35" s="45">
        <v>0.16666666666666666</v>
      </c>
      <c r="U35" s="43">
        <v>1194</v>
      </c>
      <c r="V35" s="42">
        <v>263</v>
      </c>
      <c r="W35" s="43">
        <v>8.3</v>
      </c>
      <c r="X35" s="42">
        <v>3.1</v>
      </c>
      <c r="Y35" s="44">
        <v>0</v>
      </c>
      <c r="Z35" s="44">
        <v>0</v>
      </c>
      <c r="AA35" s="28">
        <v>0</v>
      </c>
      <c r="AB35" s="1" t="s">
        <v>54</v>
      </c>
      <c r="AC35" s="1"/>
      <c r="AD35" s="69">
        <f>AVERAGE(X10:X19,X21:X30,X32:X42)</f>
        <v>3.2935483870967746</v>
      </c>
      <c r="AE35" s="8">
        <f>MAX(X10:X19,X21:X30,X32:X42)</f>
        <v>4.6</v>
      </c>
      <c r="AF35" s="9">
        <f>MIN(X10:X19,X21:X30,X32:X42)</f>
        <v>1.2</v>
      </c>
      <c r="AG35" s="1"/>
      <c r="AH35" s="1"/>
      <c r="AI35" s="1"/>
      <c r="AJ35" s="83" t="s">
        <v>107</v>
      </c>
      <c r="AK35" s="83">
        <f>COUNTIF(AA10:AA19,"&gt;=75")+COUNTIF(AA21:AA30,"&gt;=75")+COUNTIF(AA32:AA42,"&gt;=75")</f>
        <v>0</v>
      </c>
      <c r="AL35" s="1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</row>
    <row r="36" spans="1:86" ht="12.75">
      <c r="A36" s="32">
        <v>25</v>
      </c>
      <c r="B36" s="43">
        <v>19.8</v>
      </c>
      <c r="C36" s="44">
        <v>10.4</v>
      </c>
      <c r="D36" s="44">
        <v>10.4</v>
      </c>
      <c r="E36" s="44">
        <f t="shared" si="6"/>
        <v>9.4</v>
      </c>
      <c r="F36" s="42">
        <v>15.24</v>
      </c>
      <c r="G36" s="43">
        <v>90</v>
      </c>
      <c r="H36" s="44">
        <v>46</v>
      </c>
      <c r="I36" s="42">
        <v>74</v>
      </c>
      <c r="J36" s="77" t="s">
        <v>84</v>
      </c>
      <c r="K36" s="78" t="s">
        <v>84</v>
      </c>
      <c r="L36" s="78" t="s">
        <v>84</v>
      </c>
      <c r="M36" s="79" t="s">
        <v>84</v>
      </c>
      <c r="N36" s="57">
        <v>1024.7</v>
      </c>
      <c r="O36" s="58">
        <v>1021.2</v>
      </c>
      <c r="P36" s="59">
        <v>1023.4</v>
      </c>
      <c r="Q36" s="43">
        <v>0</v>
      </c>
      <c r="R36" s="44">
        <v>139.8</v>
      </c>
      <c r="S36" s="42">
        <v>0</v>
      </c>
      <c r="T36" s="45">
        <v>0.40347222222222223</v>
      </c>
      <c r="U36" s="43">
        <v>1194</v>
      </c>
      <c r="V36" s="42">
        <v>471</v>
      </c>
      <c r="W36" s="43">
        <v>7.7</v>
      </c>
      <c r="X36" s="42">
        <v>3.5</v>
      </c>
      <c r="Y36" s="44">
        <v>0</v>
      </c>
      <c r="Z36" s="44">
        <v>0</v>
      </c>
      <c r="AA36" s="28">
        <v>0</v>
      </c>
      <c r="AB36" s="1"/>
      <c r="AC36" s="1"/>
      <c r="AD36" s="69"/>
      <c r="AE36" s="8"/>
      <c r="AF36" s="9"/>
      <c r="AG36" s="1"/>
      <c r="AH36" s="1"/>
      <c r="AI36" s="1"/>
      <c r="AJ36" s="90" t="s">
        <v>108</v>
      </c>
      <c r="AK36" s="90">
        <f>COUNTIF(AA10:AA19,"&gt;=100")+COUNTIF(AA21:AA30,"&gt;=100")+COUNTIF(AA32:AA42,"&gt;=100")</f>
        <v>0</v>
      </c>
      <c r="AL36" s="1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</row>
    <row r="37" spans="1:86" ht="12.75">
      <c r="A37" s="32">
        <v>26</v>
      </c>
      <c r="B37" s="43">
        <v>22.9</v>
      </c>
      <c r="C37" s="44">
        <v>9.9</v>
      </c>
      <c r="D37" s="44">
        <v>9.9</v>
      </c>
      <c r="E37" s="44">
        <f t="shared" si="6"/>
        <v>12.999999999999998</v>
      </c>
      <c r="F37" s="42">
        <v>16.66</v>
      </c>
      <c r="G37" s="43">
        <v>91</v>
      </c>
      <c r="H37" s="44">
        <v>47</v>
      </c>
      <c r="I37" s="42">
        <v>72</v>
      </c>
      <c r="J37" s="77" t="s">
        <v>84</v>
      </c>
      <c r="K37" s="78" t="s">
        <v>84</v>
      </c>
      <c r="L37" s="78" t="s">
        <v>84</v>
      </c>
      <c r="M37" s="79" t="s">
        <v>84</v>
      </c>
      <c r="N37" s="57">
        <v>1024.4</v>
      </c>
      <c r="O37" s="58">
        <v>1018</v>
      </c>
      <c r="P37" s="59">
        <v>1020.8</v>
      </c>
      <c r="Q37" s="43">
        <v>0</v>
      </c>
      <c r="R37" s="44">
        <v>139.8</v>
      </c>
      <c r="S37" s="42">
        <v>0</v>
      </c>
      <c r="T37" s="45">
        <v>0.4777777777777778</v>
      </c>
      <c r="U37" s="43">
        <v>902</v>
      </c>
      <c r="V37" s="42">
        <v>500</v>
      </c>
      <c r="W37" s="43">
        <v>7.4</v>
      </c>
      <c r="X37" s="42">
        <v>4.1</v>
      </c>
      <c r="Y37" s="44">
        <v>0</v>
      </c>
      <c r="Z37" s="44">
        <v>0</v>
      </c>
      <c r="AA37" s="28">
        <v>0</v>
      </c>
      <c r="AB37" s="1" t="s">
        <v>77</v>
      </c>
      <c r="AD37" s="69">
        <f>AVERAGE(Y10:Y19,Y21:Y30,Y32:Y42)</f>
        <v>0</v>
      </c>
      <c r="AE37" s="8">
        <f>MAX(Y10:Y19,Y21:Y30,Y32:Y42)</f>
        <v>0</v>
      </c>
      <c r="AF37" s="9">
        <f>MIN(Y10:Y19,Y21:Y30,Y32:Y42)</f>
        <v>0</v>
      </c>
      <c r="AG37" s="1"/>
      <c r="AH37" s="1"/>
      <c r="AI37" s="1"/>
      <c r="AJ37" s="1"/>
      <c r="AK37" s="1"/>
      <c r="AL37" s="1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</row>
    <row r="38" spans="1:86" ht="12.75">
      <c r="A38" s="32">
        <v>27</v>
      </c>
      <c r="B38" s="43">
        <v>27.1</v>
      </c>
      <c r="C38" s="44">
        <v>12.8</v>
      </c>
      <c r="D38" s="44">
        <v>12.8</v>
      </c>
      <c r="E38" s="44">
        <f t="shared" si="6"/>
        <v>14.3</v>
      </c>
      <c r="F38" s="42">
        <v>19.35</v>
      </c>
      <c r="G38" s="43">
        <v>96</v>
      </c>
      <c r="H38" s="44">
        <v>39</v>
      </c>
      <c r="I38" s="42">
        <v>69</v>
      </c>
      <c r="J38" s="77" t="s">
        <v>84</v>
      </c>
      <c r="K38" s="78" t="s">
        <v>84</v>
      </c>
      <c r="L38" s="78" t="s">
        <v>84</v>
      </c>
      <c r="M38" s="79" t="s">
        <v>84</v>
      </c>
      <c r="N38" s="57">
        <v>1017.5</v>
      </c>
      <c r="O38" s="58">
        <v>1011.7</v>
      </c>
      <c r="P38" s="59">
        <v>1014.6</v>
      </c>
      <c r="Q38" s="43">
        <v>11.8</v>
      </c>
      <c r="R38" s="44">
        <v>151.6</v>
      </c>
      <c r="S38" s="42">
        <v>114</v>
      </c>
      <c r="T38" s="45">
        <v>0.32916666666666666</v>
      </c>
      <c r="U38" s="43">
        <v>1048</v>
      </c>
      <c r="V38" s="42">
        <v>434</v>
      </c>
      <c r="W38" s="43">
        <v>7.6</v>
      </c>
      <c r="X38" s="42">
        <v>3.7</v>
      </c>
      <c r="Y38" s="44">
        <v>0</v>
      </c>
      <c r="Z38" s="44">
        <v>0</v>
      </c>
      <c r="AA38" s="28">
        <v>0</v>
      </c>
      <c r="AB38" s="1" t="s">
        <v>78</v>
      </c>
      <c r="AC38" s="1"/>
      <c r="AD38" s="69">
        <f>AVERAGE(Z10:Z19,Z21:Z30,Z32:Z42)</f>
        <v>0</v>
      </c>
      <c r="AE38" s="8">
        <f>MAX(Z10:Z19,Z21:Z30,Z32:Z42)</f>
        <v>0</v>
      </c>
      <c r="AF38" s="9">
        <f>MIN(Z10:Z19,Z21:Z30,Z32:Z42)</f>
        <v>0</v>
      </c>
      <c r="AG38" s="73">
        <f>SUM(Z10:Z19,Z21:Z30,Z32:Z42)</f>
        <v>0</v>
      </c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</row>
    <row r="39" spans="1:86" ht="12.75">
      <c r="A39" s="32">
        <v>28</v>
      </c>
      <c r="B39" s="43">
        <v>21.7</v>
      </c>
      <c r="C39" s="44">
        <v>12.7</v>
      </c>
      <c r="D39" s="44">
        <v>12.7</v>
      </c>
      <c r="E39" s="44">
        <f t="shared" si="6"/>
        <v>9</v>
      </c>
      <c r="F39" s="42">
        <v>17.06</v>
      </c>
      <c r="G39" s="43">
        <v>96</v>
      </c>
      <c r="H39" s="44">
        <v>61</v>
      </c>
      <c r="I39" s="42">
        <v>82</v>
      </c>
      <c r="J39" s="77" t="s">
        <v>84</v>
      </c>
      <c r="K39" s="78" t="s">
        <v>84</v>
      </c>
      <c r="L39" s="78" t="s">
        <v>84</v>
      </c>
      <c r="M39" s="79" t="s">
        <v>84</v>
      </c>
      <c r="N39" s="57">
        <v>1019.6</v>
      </c>
      <c r="O39" s="58">
        <v>1016.6</v>
      </c>
      <c r="P39" s="59">
        <v>1018.9</v>
      </c>
      <c r="Q39" s="43">
        <v>6.4</v>
      </c>
      <c r="R39" s="44">
        <v>158</v>
      </c>
      <c r="S39" s="42">
        <v>84.8</v>
      </c>
      <c r="T39" s="45">
        <v>0.3548611111111111</v>
      </c>
      <c r="U39" s="43">
        <v>1056</v>
      </c>
      <c r="V39" s="42">
        <v>443</v>
      </c>
      <c r="W39" s="43">
        <v>7.2</v>
      </c>
      <c r="X39" s="42">
        <v>3.5</v>
      </c>
      <c r="Y39" s="44">
        <v>0</v>
      </c>
      <c r="Z39" s="44">
        <v>0</v>
      </c>
      <c r="AA39" s="28">
        <v>0</v>
      </c>
      <c r="AB39" s="1" t="s">
        <v>79</v>
      </c>
      <c r="AD39" s="69">
        <f>AVERAGE(AA10:AA19,AA21:AA30,AA32:AA42)</f>
        <v>0</v>
      </c>
      <c r="AE39" s="8">
        <f>MAX(AA10:AA19,AA21:AA30,AA32:AA42)</f>
        <v>0</v>
      </c>
      <c r="AF39" s="9">
        <f>MIN(AA10:AA19,AA21:AA30,AA32:AA42)</f>
        <v>0</v>
      </c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</row>
    <row r="40" spans="1:86" ht="12.75">
      <c r="A40" s="32">
        <v>29</v>
      </c>
      <c r="B40" s="43">
        <v>26.2</v>
      </c>
      <c r="C40" s="44">
        <v>12.4</v>
      </c>
      <c r="D40" s="44">
        <v>12</v>
      </c>
      <c r="E40" s="44">
        <f t="shared" si="6"/>
        <v>13.799999999999999</v>
      </c>
      <c r="F40" s="42">
        <v>19.57</v>
      </c>
      <c r="G40" s="43">
        <v>94</v>
      </c>
      <c r="H40" s="44">
        <v>38</v>
      </c>
      <c r="I40" s="42">
        <v>70</v>
      </c>
      <c r="J40" s="77" t="s">
        <v>84</v>
      </c>
      <c r="K40" s="78" t="s">
        <v>84</v>
      </c>
      <c r="L40" s="78" t="s">
        <v>84</v>
      </c>
      <c r="M40" s="79" t="s">
        <v>84</v>
      </c>
      <c r="N40" s="57">
        <v>1019.4</v>
      </c>
      <c r="O40" s="58">
        <v>1014.9</v>
      </c>
      <c r="P40" s="59">
        <v>1017.4</v>
      </c>
      <c r="Q40" s="43">
        <v>0</v>
      </c>
      <c r="R40" s="44">
        <v>158</v>
      </c>
      <c r="S40" s="42">
        <v>0</v>
      </c>
      <c r="T40" s="45">
        <v>0.4756944444444444</v>
      </c>
      <c r="U40" s="43">
        <v>895</v>
      </c>
      <c r="V40" s="42">
        <v>506</v>
      </c>
      <c r="W40" s="43">
        <v>7.3</v>
      </c>
      <c r="X40" s="42">
        <v>4.1</v>
      </c>
      <c r="Y40" s="44">
        <v>0</v>
      </c>
      <c r="Z40" s="44">
        <v>0</v>
      </c>
      <c r="AA40" s="28">
        <v>0</v>
      </c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</row>
    <row r="41" spans="1:86" ht="12.75">
      <c r="A41" s="32">
        <v>30</v>
      </c>
      <c r="B41" s="43">
        <v>20.4</v>
      </c>
      <c r="C41" s="44">
        <v>15.6</v>
      </c>
      <c r="D41" s="44">
        <v>15</v>
      </c>
      <c r="E41" s="44">
        <f>SUM(B41-C41)</f>
        <v>4.799999999999999</v>
      </c>
      <c r="F41" s="42">
        <v>18.19</v>
      </c>
      <c r="G41" s="43">
        <v>86</v>
      </c>
      <c r="H41" s="44">
        <v>58</v>
      </c>
      <c r="I41" s="42">
        <v>73</v>
      </c>
      <c r="J41" s="43">
        <v>45</v>
      </c>
      <c r="K41" s="44">
        <v>32.2</v>
      </c>
      <c r="L41" s="44">
        <v>8.1</v>
      </c>
      <c r="M41" s="42">
        <v>5.5</v>
      </c>
      <c r="N41" s="57">
        <v>1021.8</v>
      </c>
      <c r="O41" s="58">
        <v>1015</v>
      </c>
      <c r="P41" s="59">
        <v>1019.6</v>
      </c>
      <c r="Q41" s="43">
        <v>0</v>
      </c>
      <c r="R41" s="44">
        <v>158</v>
      </c>
      <c r="S41" s="42">
        <v>0</v>
      </c>
      <c r="T41" s="45">
        <v>0.06666666666666667</v>
      </c>
      <c r="U41" s="43">
        <v>1035</v>
      </c>
      <c r="V41" s="42">
        <v>222</v>
      </c>
      <c r="W41" s="43">
        <v>6.7</v>
      </c>
      <c r="X41" s="42">
        <v>2.2</v>
      </c>
      <c r="Y41" s="44">
        <v>0</v>
      </c>
      <c r="Z41" s="44">
        <v>0</v>
      </c>
      <c r="AA41" s="28">
        <v>0</v>
      </c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</row>
    <row r="42" spans="1:86" ht="12.75">
      <c r="A42" s="47">
        <v>31</v>
      </c>
      <c r="B42" s="46">
        <v>21.2</v>
      </c>
      <c r="C42" s="65">
        <v>12.6</v>
      </c>
      <c r="D42" s="65">
        <v>12</v>
      </c>
      <c r="E42" s="65">
        <f>SUM(B42-C42)</f>
        <v>8.6</v>
      </c>
      <c r="F42" s="65">
        <v>16.79</v>
      </c>
      <c r="G42" s="46">
        <v>87</v>
      </c>
      <c r="H42" s="65">
        <v>66</v>
      </c>
      <c r="I42" s="65">
        <v>79</v>
      </c>
      <c r="J42" s="46">
        <v>23</v>
      </c>
      <c r="K42" s="65">
        <v>18.4</v>
      </c>
      <c r="L42" s="65">
        <v>10.1</v>
      </c>
      <c r="M42" s="65">
        <v>7.3</v>
      </c>
      <c r="N42" s="60">
        <v>1021.8</v>
      </c>
      <c r="O42" s="66">
        <v>1016.9</v>
      </c>
      <c r="P42" s="66">
        <v>1019.1</v>
      </c>
      <c r="Q42" s="46">
        <v>0</v>
      </c>
      <c r="R42" s="65">
        <v>158</v>
      </c>
      <c r="S42" s="65">
        <v>0</v>
      </c>
      <c r="T42" s="48">
        <v>0.3458333333333334</v>
      </c>
      <c r="U42" s="46">
        <v>1093</v>
      </c>
      <c r="V42" s="65">
        <v>368</v>
      </c>
      <c r="W42" s="46">
        <v>7.4</v>
      </c>
      <c r="X42" s="65">
        <v>3.1</v>
      </c>
      <c r="Y42" s="46">
        <v>0</v>
      </c>
      <c r="Z42" s="65">
        <v>0</v>
      </c>
      <c r="AA42" s="65">
        <v>0</v>
      </c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</row>
    <row r="43" spans="1:86" ht="12.75">
      <c r="A43" s="39" t="s">
        <v>3</v>
      </c>
      <c r="B43" s="52">
        <f aca="true" t="shared" si="7" ref="B43:Q43">AVERAGE(B32:B42)</f>
        <v>23.327272727272724</v>
      </c>
      <c r="C43" s="54">
        <f t="shared" si="7"/>
        <v>13.272727272727273</v>
      </c>
      <c r="D43" s="54">
        <f t="shared" si="7"/>
        <v>13.090909090909092</v>
      </c>
      <c r="E43" s="54">
        <f t="shared" si="7"/>
        <v>10.054545454545455</v>
      </c>
      <c r="F43" s="54">
        <f t="shared" si="7"/>
        <v>18.11181818181818</v>
      </c>
      <c r="G43" s="52">
        <f t="shared" si="7"/>
        <v>90.9090909090909</v>
      </c>
      <c r="H43" s="54">
        <f t="shared" si="7"/>
        <v>49.18181818181818</v>
      </c>
      <c r="I43" s="54">
        <f t="shared" si="7"/>
        <v>73.9090909090909</v>
      </c>
      <c r="J43" s="52">
        <f t="shared" si="7"/>
        <v>35.2</v>
      </c>
      <c r="K43" s="54">
        <f t="shared" si="7"/>
        <v>25.419999999999998</v>
      </c>
      <c r="L43" s="54">
        <f t="shared" si="7"/>
        <v>7.080000000000001</v>
      </c>
      <c r="M43" s="54">
        <f t="shared" si="7"/>
        <v>4.8</v>
      </c>
      <c r="N43" s="52">
        <f t="shared" si="7"/>
        <v>1019.7727272727271</v>
      </c>
      <c r="O43" s="54">
        <f t="shared" si="7"/>
        <v>1013.6818181818181</v>
      </c>
      <c r="P43" s="54">
        <f t="shared" si="7"/>
        <v>1016.6909090909091</v>
      </c>
      <c r="Q43" s="52">
        <f t="shared" si="7"/>
        <v>3.6727272727272724</v>
      </c>
      <c r="R43" s="54">
        <f>SUM(R42-R30)</f>
        <v>40.400000000000006</v>
      </c>
      <c r="S43" s="54">
        <f aca="true" t="shared" si="8" ref="S43:X43">AVERAGE(S32:S42)</f>
        <v>105.39999999999999</v>
      </c>
      <c r="T43" s="63">
        <f t="shared" si="8"/>
        <v>0.2962121212121212</v>
      </c>
      <c r="U43" s="75">
        <f t="shared" si="8"/>
        <v>1027.3636363636363</v>
      </c>
      <c r="V43" s="53">
        <f t="shared" si="8"/>
        <v>372.3636363636364</v>
      </c>
      <c r="W43" s="54">
        <f t="shared" si="8"/>
        <v>7.354545454545456</v>
      </c>
      <c r="X43" s="54">
        <f t="shared" si="8"/>
        <v>3.254545454545455</v>
      </c>
      <c r="Y43" s="71"/>
      <c r="Z43" s="72">
        <f>SUM(Z32:Z42)</f>
        <v>0</v>
      </c>
      <c r="AA43" s="72">
        <f>AVERAGE(AA32:AA42)</f>
        <v>0</v>
      </c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</row>
    <row r="44" spans="1:86" ht="12.75">
      <c r="A44" s="62" t="s">
        <v>4</v>
      </c>
      <c r="B44" s="55">
        <f aca="true" t="shared" si="9" ref="B44:Q44">AVERAGE(B10:B19,B21:B30,B32:B42)</f>
        <v>22.306451612903224</v>
      </c>
      <c r="C44" s="56">
        <f t="shared" si="9"/>
        <v>12.72258064516129</v>
      </c>
      <c r="D44" s="56">
        <f t="shared" si="9"/>
        <v>12.254838709677417</v>
      </c>
      <c r="E44" s="56">
        <f t="shared" si="9"/>
        <v>9.583870967741937</v>
      </c>
      <c r="F44" s="56">
        <f t="shared" si="9"/>
        <v>17.03548387096774</v>
      </c>
      <c r="G44" s="55">
        <f t="shared" si="9"/>
        <v>93</v>
      </c>
      <c r="H44" s="56">
        <f t="shared" si="9"/>
        <v>55.83870967741935</v>
      </c>
      <c r="I44" s="56">
        <f t="shared" si="9"/>
        <v>78.80645161290323</v>
      </c>
      <c r="J44" s="55">
        <f t="shared" si="9"/>
        <v>32.36</v>
      </c>
      <c r="K44" s="56">
        <f t="shared" si="9"/>
        <v>23.156000000000002</v>
      </c>
      <c r="L44" s="56">
        <f t="shared" si="9"/>
        <v>6.892</v>
      </c>
      <c r="M44" s="56">
        <f t="shared" si="9"/>
        <v>4.5360000000000005</v>
      </c>
      <c r="N44" s="55">
        <f t="shared" si="9"/>
        <v>1018.0322580645161</v>
      </c>
      <c r="O44" s="56">
        <f t="shared" si="9"/>
        <v>1013.2387096774194</v>
      </c>
      <c r="P44" s="56">
        <f t="shared" si="9"/>
        <v>1015.6967741935483</v>
      </c>
      <c r="Q44" s="55">
        <f t="shared" si="9"/>
        <v>5.096774193548388</v>
      </c>
      <c r="R44" s="56">
        <f>MAX(R10:R19,R21:R30,R32:R42)</f>
        <v>158</v>
      </c>
      <c r="S44" s="67">
        <f aca="true" t="shared" si="10" ref="S44:X44">AVERAGE(S10:S19,S21:S30,S32:S42)</f>
        <v>54.18064516129032</v>
      </c>
      <c r="T44" s="64">
        <f t="shared" si="10"/>
        <v>0.24706541218637992</v>
      </c>
      <c r="U44" s="76">
        <f t="shared" si="10"/>
        <v>1069.8387096774193</v>
      </c>
      <c r="V44" s="67">
        <f t="shared" si="10"/>
        <v>341.19354838709677</v>
      </c>
      <c r="W44" s="56">
        <f t="shared" si="10"/>
        <v>7.906451612903226</v>
      </c>
      <c r="X44" s="56">
        <f t="shared" si="10"/>
        <v>3.2935483870967746</v>
      </c>
      <c r="Y44" s="55"/>
      <c r="Z44" s="56">
        <f>SUM(Z10:Z19,Z21:Z30,Z32:Z42)</f>
        <v>0</v>
      </c>
      <c r="AA44" s="56">
        <f>AVERAGE(AA10:AA19,AA21:AA30,AA32:AA42)</f>
        <v>0</v>
      </c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</row>
    <row r="45" spans="1:16" ht="12.75">
      <c r="A45" s="91" t="s">
        <v>83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</sheetData>
  <mergeCells count="19">
    <mergeCell ref="BS22:CH44"/>
    <mergeCell ref="AM1:BB1"/>
    <mergeCell ref="AB1:AL1"/>
    <mergeCell ref="BC1:BR1"/>
    <mergeCell ref="BS1:CH1"/>
    <mergeCell ref="A1:AA1"/>
    <mergeCell ref="A3:AA3"/>
    <mergeCell ref="J6:M6"/>
    <mergeCell ref="Q6:S6"/>
    <mergeCell ref="U6:V6"/>
    <mergeCell ref="W6:X6"/>
    <mergeCell ref="A45:P45"/>
    <mergeCell ref="Y7:Z7"/>
    <mergeCell ref="Y6:AA6"/>
    <mergeCell ref="B7:B9"/>
    <mergeCell ref="C7:C9"/>
    <mergeCell ref="B6:F6"/>
    <mergeCell ref="G6:I6"/>
    <mergeCell ref="N6:P6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74" r:id="rId2"/>
  <colBreaks count="3" manualBreakCount="3">
    <brk id="27" max="44" man="1"/>
    <brk id="38" max="44" man="1"/>
    <brk id="54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Walther Silas</cp:lastModifiedBy>
  <cp:lastPrinted>2009-08-03T08:10:39Z</cp:lastPrinted>
  <dcterms:created xsi:type="dcterms:W3CDTF">2008-04-02T16:08:55Z</dcterms:created>
  <dcterms:modified xsi:type="dcterms:W3CDTF">2011-11-03T10:23:23Z</dcterms:modified>
  <cp:category/>
  <cp:version/>
  <cp:contentType/>
  <cp:contentStatus/>
</cp:coreProperties>
</file>