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9870" activeTab="0"/>
  </bookViews>
  <sheets>
    <sheet name="Übersicht" sheetId="1" r:id="rId1"/>
  </sheets>
  <definedNames>
    <definedName name="_xlnm.Print_Area" localSheetId="0">'Übersicht'!$A$1:$BD$44</definedName>
  </definedNames>
  <calcPr fullCalcOnLoad="1"/>
</workbook>
</file>

<file path=xl/sharedStrings.xml><?xml version="1.0" encoding="utf-8"?>
<sst xmlns="http://schemas.openxmlformats.org/spreadsheetml/2006/main" count="96" uniqueCount="89">
  <si>
    <t>Tag</t>
  </si>
  <si>
    <t>1. Dekade</t>
  </si>
  <si>
    <t>2. Dekade</t>
  </si>
  <si>
    <t>3.Dekade</t>
  </si>
  <si>
    <t>Monat</t>
  </si>
  <si>
    <t>Mittel</t>
  </si>
  <si>
    <t>Max</t>
  </si>
  <si>
    <t>Min</t>
  </si>
  <si>
    <t>Ampli-</t>
  </si>
  <si>
    <t>tude</t>
  </si>
  <si>
    <t>Böe</t>
  </si>
  <si>
    <t>Durchschnitte:</t>
  </si>
  <si>
    <t>Maximum:</t>
  </si>
  <si>
    <t>Minimum:</t>
  </si>
  <si>
    <t>Total:</t>
  </si>
  <si>
    <t>Abweichung der Norm:</t>
  </si>
  <si>
    <t>Temperatur-Tage:</t>
  </si>
  <si>
    <t>Temperatur Maximum</t>
  </si>
  <si>
    <t>Temperatur Minimum</t>
  </si>
  <si>
    <t>Temperatur Mittel</t>
  </si>
  <si>
    <t>Windböe Maximum</t>
  </si>
  <si>
    <t>Windböemaximum-Tage:</t>
  </si>
  <si>
    <t>&gt;7 Beaufort</t>
  </si>
  <si>
    <t>7 Beaufort</t>
  </si>
  <si>
    <t>6 Beaufort</t>
  </si>
  <si>
    <t>5 Beaufort</t>
  </si>
  <si>
    <t>Luftdruck Maximum</t>
  </si>
  <si>
    <t>4 Beaufort</t>
  </si>
  <si>
    <t>Luftdruck Minimum</t>
  </si>
  <si>
    <t>3 Beaufort</t>
  </si>
  <si>
    <t>Luftdruck Mittel</t>
  </si>
  <si>
    <t>&lt;3 Beaufort</t>
  </si>
  <si>
    <t>Niederschlag Tag</t>
  </si>
  <si>
    <t>Tage &gt;0,9mm</t>
  </si>
  <si>
    <t>Schnee-Tage:</t>
  </si>
  <si>
    <t>Niederschlag im Monat</t>
  </si>
  <si>
    <t>Sonnenscheindauer</t>
  </si>
  <si>
    <t>Eistage</t>
  </si>
  <si>
    <t>Frosttage</t>
  </si>
  <si>
    <t>Sommertage</t>
  </si>
  <si>
    <t>Hitzetage</t>
  </si>
  <si>
    <r>
      <t>Wetterstation Oberthal</t>
    </r>
    <r>
      <rPr>
        <sz val="9"/>
        <rFont val="Arial"/>
        <family val="2"/>
      </rPr>
      <t xml:space="preserve"> (850m.ü.M.)</t>
    </r>
  </si>
  <si>
    <t>Neuschnee</t>
  </si>
  <si>
    <t>06Z</t>
  </si>
  <si>
    <t>24h</t>
  </si>
  <si>
    <t>Total</t>
  </si>
  <si>
    <t>Neuschnee 24h 06Z</t>
  </si>
  <si>
    <t>Schneehöhe Total</t>
  </si>
  <si>
    <t>Tropennächte</t>
  </si>
  <si>
    <t>Abweichung:</t>
  </si>
  <si>
    <t>Kalte Tage</t>
  </si>
  <si>
    <t>Warme Tage</t>
  </si>
  <si>
    <t>Tmin &lt;= -10 °C</t>
  </si>
  <si>
    <t>Tmax &lt;= 0 °C</t>
  </si>
  <si>
    <t>Tmin &lt; 0 °C</t>
  </si>
  <si>
    <t>Tmax &lt; 10 °C</t>
  </si>
  <si>
    <t>Tmax &gt;= 20 °C</t>
  </si>
  <si>
    <t>Tmax &gt;= 25 °C</t>
  </si>
  <si>
    <t>Tmax &gt;= 30 °C</t>
  </si>
  <si>
    <t>Tmin &gt;= 20 °C</t>
  </si>
  <si>
    <t>&gt; 0 cm</t>
  </si>
  <si>
    <t>&gt;= 1 cm</t>
  </si>
  <si>
    <t>&gt;= 5 cm</t>
  </si>
  <si>
    <t>&gt;= 10 cm</t>
  </si>
  <si>
    <t>&gt;= 15 cm</t>
  </si>
  <si>
    <t>&gt;= 20 cm</t>
  </si>
  <si>
    <t>&gt;= 30 cm</t>
  </si>
  <si>
    <t>&gt;= 40 cm</t>
  </si>
  <si>
    <t>&gt;= 50 cm</t>
  </si>
  <si>
    <t>&gt;= 75 cm</t>
  </si>
  <si>
    <t>&gt;= 100 cm</t>
  </si>
  <si>
    <t>Sehr Kalte Tage</t>
  </si>
  <si>
    <r>
      <t>Niederschlag</t>
    </r>
    <r>
      <rPr>
        <sz val="9"/>
        <rFont val="Arial"/>
        <family val="2"/>
      </rPr>
      <t xml:space="preserve"> [</t>
    </r>
    <r>
      <rPr>
        <sz val="9"/>
        <rFont val="Arial"/>
        <family val="0"/>
      </rPr>
      <t>mm]</t>
    </r>
  </si>
  <si>
    <r>
      <t>Sdauer</t>
    </r>
    <r>
      <rPr>
        <sz val="9"/>
        <rFont val="Arial"/>
        <family val="0"/>
      </rPr>
      <t xml:space="preserve"> [h]</t>
    </r>
  </si>
  <si>
    <r>
      <t>Schneehöhe</t>
    </r>
    <r>
      <rPr>
        <sz val="9"/>
        <rFont val="Arial"/>
        <family val="2"/>
      </rPr>
      <t xml:space="preserve"> [cm]</t>
    </r>
  </si>
  <si>
    <r>
      <t>Luftdruck</t>
    </r>
    <r>
      <rPr>
        <sz val="9"/>
        <rFont val="Arial"/>
        <family val="0"/>
      </rPr>
      <t xml:space="preserve"> [hPa]</t>
    </r>
  </si>
  <si>
    <r>
      <t>Lufttemperatur</t>
    </r>
    <r>
      <rPr>
        <sz val="9"/>
        <rFont val="Arial"/>
        <family val="0"/>
      </rPr>
      <t xml:space="preserve"> [°C]</t>
    </r>
  </si>
  <si>
    <r>
      <t>Wind</t>
    </r>
    <r>
      <rPr>
        <sz val="9"/>
        <rFont val="Arial"/>
        <family val="2"/>
      </rPr>
      <t xml:space="preserve"> [km/h]</t>
    </r>
  </si>
  <si>
    <t>Monatsdiagramm August 2016</t>
  </si>
  <si>
    <t>-0.39 °C</t>
  </si>
  <si>
    <t>+0.61 °C</t>
  </si>
  <si>
    <t>+0.55 °C</t>
  </si>
  <si>
    <t>10 statt 12</t>
  </si>
  <si>
    <t>-32.4 mm</t>
  </si>
  <si>
    <t>225h 50min</t>
  </si>
  <si>
    <t>+16h 50min</t>
  </si>
  <si>
    <t>+/-0</t>
  </si>
  <si>
    <t>+0.6</t>
  </si>
  <si>
    <t>-0.8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</si>
</sst>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807]dddd\,\ d\.\ mmmm\ yyyy"/>
    <numFmt numFmtId="179" formatCode="dd/mm/yyyy;@"/>
    <numFmt numFmtId="180" formatCode="[$-807]d/\ mmmm\ yyyy;@"/>
    <numFmt numFmtId="181" formatCode="0.0"/>
  </numFmts>
  <fonts count="53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0" fontId="3" fillId="41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43" borderId="0" xfId="0" applyFont="1" applyFill="1" applyAlignment="1">
      <alignment/>
    </xf>
    <xf numFmtId="0" fontId="2" fillId="0" borderId="0" xfId="0" applyFont="1" applyAlignment="1">
      <alignment horizontal="right"/>
    </xf>
    <xf numFmtId="20" fontId="3" fillId="35" borderId="0" xfId="0" applyNumberFormat="1" applyFont="1" applyFill="1" applyAlignment="1">
      <alignment horizontal="right"/>
    </xf>
    <xf numFmtId="0" fontId="3" fillId="44" borderId="10" xfId="0" applyFont="1" applyFill="1" applyBorder="1" applyAlignment="1">
      <alignment horizontal="center"/>
    </xf>
    <xf numFmtId="0" fontId="3" fillId="45" borderId="0" xfId="0" applyFont="1" applyFill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17" fontId="4" fillId="0" borderId="12" xfId="0" applyNumberFormat="1" applyFont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4" borderId="12" xfId="0" applyFont="1" applyFill="1" applyBorder="1" applyAlignment="1">
      <alignment horizontal="center"/>
    </xf>
    <xf numFmtId="0" fontId="3" fillId="44" borderId="15" xfId="0" applyFont="1" applyFill="1" applyBorder="1" applyAlignment="1">
      <alignment horizontal="center"/>
    </xf>
    <xf numFmtId="0" fontId="3" fillId="44" borderId="16" xfId="0" applyFont="1" applyFill="1" applyBorder="1" applyAlignment="1">
      <alignment horizontal="center"/>
    </xf>
    <xf numFmtId="0" fontId="3" fillId="46" borderId="17" xfId="0" applyFont="1" applyFill="1" applyBorder="1" applyAlignment="1">
      <alignment horizontal="center"/>
    </xf>
    <xf numFmtId="0" fontId="3" fillId="47" borderId="17" xfId="0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3" fillId="45" borderId="13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3" fillId="45" borderId="0" xfId="0" applyFont="1" applyFill="1" applyBorder="1" applyAlignment="1">
      <alignment horizontal="center"/>
    </xf>
    <xf numFmtId="0" fontId="3" fillId="45" borderId="14" xfId="0" applyFont="1" applyFill="1" applyBorder="1" applyAlignment="1">
      <alignment horizontal="center"/>
    </xf>
    <xf numFmtId="0" fontId="3" fillId="44" borderId="0" xfId="0" applyFont="1" applyFill="1" applyAlignment="1">
      <alignment horizontal="center"/>
    </xf>
    <xf numFmtId="181" fontId="3" fillId="35" borderId="18" xfId="0" applyNumberFormat="1" applyFont="1" applyFill="1" applyBorder="1" applyAlignment="1">
      <alignment horizontal="center"/>
    </xf>
    <xf numFmtId="181" fontId="3" fillId="35" borderId="19" xfId="0" applyNumberFormat="1" applyFont="1" applyFill="1" applyBorder="1" applyAlignment="1">
      <alignment horizontal="center"/>
    </xf>
    <xf numFmtId="181" fontId="3" fillId="35" borderId="17" xfId="0" applyNumberFormat="1" applyFont="1" applyFill="1" applyBorder="1" applyAlignment="1">
      <alignment horizontal="center"/>
    </xf>
    <xf numFmtId="181" fontId="3" fillId="47" borderId="18" xfId="0" applyNumberFormat="1" applyFont="1" applyFill="1" applyBorder="1" applyAlignment="1">
      <alignment horizontal="center"/>
    </xf>
    <xf numFmtId="181" fontId="3" fillId="47" borderId="17" xfId="0" applyNumberFormat="1" applyFont="1" applyFill="1" applyBorder="1" applyAlignment="1">
      <alignment horizontal="center"/>
    </xf>
    <xf numFmtId="181" fontId="3" fillId="47" borderId="19" xfId="0" applyNumberFormat="1" applyFont="1" applyFill="1" applyBorder="1" applyAlignment="1">
      <alignment horizontal="center"/>
    </xf>
    <xf numFmtId="181" fontId="5" fillId="36" borderId="10" xfId="0" applyNumberFormat="1" applyFont="1" applyFill="1" applyBorder="1" applyAlignment="1">
      <alignment horizontal="center"/>
    </xf>
    <xf numFmtId="181" fontId="5" fillId="36" borderId="0" xfId="0" applyNumberFormat="1" applyFont="1" applyFill="1" applyBorder="1" applyAlignment="1">
      <alignment horizontal="center"/>
    </xf>
    <xf numFmtId="181" fontId="3" fillId="45" borderId="10" xfId="0" applyNumberFormat="1" applyFont="1" applyFill="1" applyBorder="1" applyAlignment="1">
      <alignment horizontal="center"/>
    </xf>
    <xf numFmtId="181" fontId="3" fillId="45" borderId="0" xfId="0" applyNumberFormat="1" applyFont="1" applyFill="1" applyBorder="1" applyAlignment="1">
      <alignment horizontal="center"/>
    </xf>
    <xf numFmtId="181" fontId="3" fillId="45" borderId="14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7" fillId="45" borderId="13" xfId="0" applyFont="1" applyFill="1" applyBorder="1" applyAlignment="1">
      <alignment horizontal="center"/>
    </xf>
    <xf numFmtId="0" fontId="3" fillId="45" borderId="11" xfId="0" applyFont="1" applyFill="1" applyBorder="1" applyAlignment="1">
      <alignment horizontal="center"/>
    </xf>
    <xf numFmtId="181" fontId="3" fillId="45" borderId="11" xfId="0" applyNumberFormat="1" applyFont="1" applyFill="1" applyBorder="1" applyAlignment="1">
      <alignment horizontal="center"/>
    </xf>
    <xf numFmtId="181" fontId="5" fillId="36" borderId="20" xfId="0" applyNumberFormat="1" applyFont="1" applyFill="1" applyBorder="1" applyAlignment="1">
      <alignment horizontal="center"/>
    </xf>
    <xf numFmtId="16" fontId="4" fillId="37" borderId="0" xfId="0" applyNumberFormat="1" applyFont="1" applyFill="1" applyAlignment="1">
      <alignment/>
    </xf>
    <xf numFmtId="2" fontId="3" fillId="37" borderId="0" xfId="0" applyNumberFormat="1" applyFont="1" applyFill="1" applyAlignment="1">
      <alignment/>
    </xf>
    <xf numFmtId="181" fontId="3" fillId="47" borderId="11" xfId="0" applyNumberFormat="1" applyFont="1" applyFill="1" applyBorder="1" applyAlignment="1">
      <alignment horizontal="center"/>
    </xf>
    <xf numFmtId="181" fontId="5" fillId="35" borderId="0" xfId="0" applyNumberFormat="1" applyFont="1" applyFill="1" applyBorder="1" applyAlignment="1">
      <alignment horizontal="right"/>
    </xf>
    <xf numFmtId="0" fontId="3" fillId="48" borderId="0" xfId="0" applyFont="1" applyFill="1" applyAlignment="1">
      <alignment/>
    </xf>
    <xf numFmtId="0" fontId="3" fillId="49" borderId="0" xfId="0" applyFont="1" applyFill="1" applyAlignment="1">
      <alignment/>
    </xf>
    <xf numFmtId="0" fontId="3" fillId="50" borderId="0" xfId="0" applyFont="1" applyFill="1" applyAlignment="1">
      <alignment/>
    </xf>
    <xf numFmtId="0" fontId="6" fillId="51" borderId="0" xfId="0" applyFont="1" applyFill="1" applyAlignment="1">
      <alignment/>
    </xf>
    <xf numFmtId="0" fontId="6" fillId="52" borderId="0" xfId="0" applyFont="1" applyFill="1" applyAlignment="1">
      <alignment/>
    </xf>
    <xf numFmtId="0" fontId="3" fillId="53" borderId="0" xfId="0" applyFont="1" applyFill="1" applyAlignment="1">
      <alignment/>
    </xf>
    <xf numFmtId="0" fontId="8" fillId="51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2" fontId="3" fillId="45" borderId="15" xfId="0" applyNumberFormat="1" applyFont="1" applyFill="1" applyBorder="1" applyAlignment="1">
      <alignment horizontal="center"/>
    </xf>
    <xf numFmtId="2" fontId="3" fillId="35" borderId="21" xfId="0" applyNumberFormat="1" applyFont="1" applyFill="1" applyBorder="1" applyAlignment="1">
      <alignment horizontal="center"/>
    </xf>
    <xf numFmtId="2" fontId="3" fillId="47" borderId="21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181" fontId="3" fillId="45" borderId="13" xfId="0" applyNumberFormat="1" applyFont="1" applyFill="1" applyBorder="1" applyAlignment="1">
      <alignment horizontal="center"/>
    </xf>
    <xf numFmtId="181" fontId="3" fillId="45" borderId="12" xfId="0" applyNumberFormat="1" applyFont="1" applyFill="1" applyBorder="1" applyAlignment="1">
      <alignment horizontal="center"/>
    </xf>
    <xf numFmtId="181" fontId="5" fillId="36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3" fillId="44" borderId="10" xfId="0" applyFont="1" applyFill="1" applyBorder="1" applyAlignment="1">
      <alignment/>
    </xf>
    <xf numFmtId="0" fontId="3" fillId="44" borderId="0" xfId="0" applyFont="1" applyFill="1" applyBorder="1" applyAlignment="1">
      <alignment/>
    </xf>
    <xf numFmtId="2" fontId="3" fillId="45" borderId="16" xfId="0" applyNumberFormat="1" applyFont="1" applyFill="1" applyBorder="1" applyAlignment="1">
      <alignment horizontal="center"/>
    </xf>
    <xf numFmtId="2" fontId="5" fillId="36" borderId="15" xfId="0" applyNumberFormat="1" applyFont="1" applyFill="1" applyBorder="1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1" fillId="45" borderId="0" xfId="0" applyFont="1" applyFill="1" applyAlignment="1">
      <alignment horizontal="center"/>
    </xf>
    <xf numFmtId="0" fontId="4" fillId="45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51" borderId="0" xfId="0" applyFont="1" applyFill="1" applyAlignment="1" quotePrefix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(Übersicht!$B$10:$B$19,Übersicht!$B$21:$B$30,Übersicht!$B$32:$B$42)</c:f>
              <c:numCache/>
            </c:numRef>
          </c:val>
          <c:smooth val="0"/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(Übersicht!$C$10:$C$19,Übersicht!$C$21:$C$30,Übersicht!$C$32:$C$42)</c:f>
              <c:numCache/>
            </c:numRef>
          </c:val>
          <c:smooth val="0"/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(Übersicht!$E$10:$E$19,Übersicht!$E$21:$E$30,Übersicht!$E$32:$E$42)</c:f>
              <c:numCache/>
            </c:numRef>
          </c:val>
          <c:smooth val="0"/>
        </c:ser>
        <c:marker val="1"/>
        <c:axId val="2558767"/>
        <c:axId val="23028904"/>
      </c:lineChart>
      <c:catAx>
        <c:axId val="255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28904"/>
        <c:crosses val="autoZero"/>
        <c:auto val="1"/>
        <c:lblOffset val="100"/>
        <c:tickLblSkip val="1"/>
        <c:noMultiLvlLbl val="0"/>
      </c:catAx>
      <c:valAx>
        <c:axId val="23028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5"/>
          <c:w val="0.66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Windgeschwindigkeit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875"/>
          <c:w val="0.963"/>
          <c:h val="0.705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(Übersicht!$F$10:$F$19,Übersicht!$F$21:$F$30,Übersicht!$F$32:$F$42)</c:f>
              <c:numCache/>
            </c:numRef>
          </c:val>
          <c:smooth val="0"/>
        </c:ser>
        <c:marker val="1"/>
        <c:axId val="5933545"/>
        <c:axId val="53401906"/>
      </c:lineChart>
      <c:catAx>
        <c:axId val="59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01906"/>
        <c:crosses val="autoZero"/>
        <c:auto val="1"/>
        <c:lblOffset val="100"/>
        <c:tickLblSkip val="1"/>
        <c:noMultiLvlLbl val="0"/>
      </c:catAx>
      <c:valAx>
        <c:axId val="53401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85"/>
          <c:y val="0.9105"/>
          <c:w val="0.10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Luftdruck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lineChart>
        <c:grouping val="standard"/>
        <c:varyColors val="0"/>
        <c:ser>
          <c:idx val="0"/>
          <c:order val="0"/>
          <c:tx>
            <c:v>Luftdruck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(Übersicht!$G$10:$G$19,Übersicht!$G$21:$G$30,Übersicht!$G$32:$G$42)</c:f>
              <c:numCache/>
            </c:numRef>
          </c:val>
          <c:smooth val="0"/>
        </c:ser>
        <c:ser>
          <c:idx val="1"/>
          <c:order val="1"/>
          <c:tx>
            <c:v>Luftdruck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(Übersicht!$H$10:$H$19,Übersicht!$H$21:$H$30,Übersicht!$H$32:$H$42)</c:f>
              <c:numCache/>
            </c:numRef>
          </c:val>
          <c:smooth val="0"/>
        </c:ser>
        <c:ser>
          <c:idx val="2"/>
          <c:order val="2"/>
          <c:tx>
            <c:v>Luftdruck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(Übersicht!$I$10:$I$19,Übersicht!$I$21:$I$30,Übersicht!$I$32:$I$42)</c:f>
              <c:numCache/>
            </c:numRef>
          </c:val>
          <c:smooth val="0"/>
        </c:ser>
        <c:marker val="1"/>
        <c:axId val="10855107"/>
        <c:axId val="30587100"/>
      </c:lineChart>
      <c:catAx>
        <c:axId val="1085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7100"/>
        <c:crosses val="autoZero"/>
        <c:auto val="1"/>
        <c:lblOffset val="100"/>
        <c:tickLblSkip val="1"/>
        <c:noMultiLvlLbl val="0"/>
      </c:catAx>
      <c:valAx>
        <c:axId val="3058710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551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5"/>
          <c:y val="0.9105"/>
          <c:w val="0.609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Niederschlag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(Übersicht!$J$10:$J$19,Übersicht!$J$21:$J$30,Übersicht!$J$32:$J$42)</c:f>
              <c:numCache/>
            </c:numRef>
          </c:val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(Übersicht!$K$10:$K$19,Übersicht!$K$21:$K$30,Übersicht!$K$32:$K$42)</c:f>
              <c:numCache/>
            </c:numRef>
          </c:val>
        </c:ser>
        <c:axId val="6848445"/>
        <c:axId val="61636006"/>
      </c:barChart>
      <c:catAx>
        <c:axId val="68484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6006"/>
        <c:crosses val="autoZero"/>
        <c:auto val="0"/>
        <c:lblOffset val="100"/>
        <c:tickLblSkip val="1"/>
        <c:noMultiLvlLbl val="0"/>
      </c:catAx>
      <c:valAx>
        <c:axId val="61636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48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105"/>
          <c:w val="0.4187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Sonnenscheindauer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(Übersicht!$L$10:$L$19,Übersicht!$L$21:$L$30,Übersicht!$L$32:$L$42)</c:f>
              <c:numCache/>
            </c:numRef>
          </c:val>
        </c:ser>
        <c:axId val="17853143"/>
        <c:axId val="26460560"/>
      </c:bar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0560"/>
        <c:crosses val="autoZero"/>
        <c:auto val="1"/>
        <c:lblOffset val="100"/>
        <c:tickLblSkip val="1"/>
        <c:noMultiLvlLbl val="0"/>
      </c:catAx>
      <c:valAx>
        <c:axId val="26460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3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225"/>
          <c:y val="0.9105"/>
          <c:w val="0.264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Schneehöhe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4775"/>
          <c:w val="0.963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(Übersicht!$M$10:$M$19,Übersicht!$M$21:$M$30,Übersicht!$M$32:$M$42)</c:f>
              <c:numCache/>
            </c:numRef>
          </c:val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(Übersicht!$N$10:$N$19,Übersicht!$N$21:$N$30,Übersicht!$N$32:$N$42)</c:f>
              <c:numCache/>
            </c:numRef>
          </c:val>
        </c:ser>
        <c:axId val="36818449"/>
        <c:axId val="62930586"/>
      </c:bar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0586"/>
        <c:crosses val="autoZero"/>
        <c:auto val="1"/>
        <c:lblOffset val="100"/>
        <c:tickLblSkip val="1"/>
        <c:noMultiLvlLbl val="0"/>
      </c:catAx>
      <c:valAx>
        <c:axId val="62930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844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975"/>
          <c:y val="0.926"/>
          <c:w val="0.2207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0</xdr:rowOff>
    </xdr:from>
    <xdr:to>
      <xdr:col>32</xdr:col>
      <xdr:colOff>552450</xdr:colOff>
      <xdr:row>20</xdr:row>
      <xdr:rowOff>47625</xdr:rowOff>
    </xdr:to>
    <xdr:graphicFrame>
      <xdr:nvGraphicFramePr>
        <xdr:cNvPr id="1" name="Diagramm 1"/>
        <xdr:cNvGraphicFramePr/>
      </xdr:nvGraphicFramePr>
      <xdr:xfrm>
        <a:off x="15582900" y="419100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0</xdr:colOff>
      <xdr:row>2</xdr:row>
      <xdr:rowOff>0</xdr:rowOff>
    </xdr:from>
    <xdr:to>
      <xdr:col>56</xdr:col>
      <xdr:colOff>0</xdr:colOff>
      <xdr:row>20</xdr:row>
      <xdr:rowOff>47625</xdr:rowOff>
    </xdr:to>
    <xdr:graphicFrame>
      <xdr:nvGraphicFramePr>
        <xdr:cNvPr id="2" name="Diagramm 6"/>
        <xdr:cNvGraphicFramePr/>
      </xdr:nvGraphicFramePr>
      <xdr:xfrm>
        <a:off x="27774900" y="419100"/>
        <a:ext cx="114300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</xdr:row>
      <xdr:rowOff>0</xdr:rowOff>
    </xdr:from>
    <xdr:to>
      <xdr:col>40</xdr:col>
      <xdr:colOff>552450</xdr:colOff>
      <xdr:row>20</xdr:row>
      <xdr:rowOff>47625</xdr:rowOff>
    </xdr:to>
    <xdr:graphicFrame>
      <xdr:nvGraphicFramePr>
        <xdr:cNvPr id="3" name="Diagramm 7"/>
        <xdr:cNvGraphicFramePr/>
      </xdr:nvGraphicFramePr>
      <xdr:xfrm>
        <a:off x="21678900" y="419100"/>
        <a:ext cx="58864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32</xdr:col>
      <xdr:colOff>552450</xdr:colOff>
      <xdr:row>39</xdr:row>
      <xdr:rowOff>47625</xdr:rowOff>
    </xdr:to>
    <xdr:graphicFrame>
      <xdr:nvGraphicFramePr>
        <xdr:cNvPr id="4" name="Diagramm 8"/>
        <xdr:cNvGraphicFramePr/>
      </xdr:nvGraphicFramePr>
      <xdr:xfrm>
        <a:off x="15582900" y="3495675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33</xdr:col>
      <xdr:colOff>0</xdr:colOff>
      <xdr:row>21</xdr:row>
      <xdr:rowOff>0</xdr:rowOff>
    </xdr:from>
    <xdr:to>
      <xdr:col>40</xdr:col>
      <xdr:colOff>552450</xdr:colOff>
      <xdr:row>39</xdr:row>
      <xdr:rowOff>47625</xdr:rowOff>
    </xdr:to>
    <xdr:graphicFrame>
      <xdr:nvGraphicFramePr>
        <xdr:cNvPr id="5" name="Diagramm 9"/>
        <xdr:cNvGraphicFramePr/>
      </xdr:nvGraphicFramePr>
      <xdr:xfrm>
        <a:off x="21678900" y="3495675"/>
        <a:ext cx="58864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0</xdr:colOff>
      <xdr:row>21</xdr:row>
      <xdr:rowOff>0</xdr:rowOff>
    </xdr:from>
    <xdr:to>
      <xdr:col>56</xdr:col>
      <xdr:colOff>0</xdr:colOff>
      <xdr:row>43</xdr:row>
      <xdr:rowOff>0</xdr:rowOff>
    </xdr:to>
    <xdr:graphicFrame>
      <xdr:nvGraphicFramePr>
        <xdr:cNvPr id="6" name="Diagramm 12"/>
        <xdr:cNvGraphicFramePr/>
      </xdr:nvGraphicFramePr>
      <xdr:xfrm>
        <a:off x="27774900" y="3495675"/>
        <a:ext cx="11430000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4"/>
  <sheetViews>
    <sheetView tabSelected="1" zoomScaleSheetLayoutView="100" zoomScalePageLayoutView="0" workbookViewId="0" topLeftCell="A1">
      <selection activeCell="O2" sqref="O2"/>
    </sheetView>
  </sheetViews>
  <sheetFormatPr defaultColWidth="11.421875" defaultRowHeight="12.75"/>
  <cols>
    <col min="1" max="1" width="9.00390625" style="0" bestFit="1" customWidth="1"/>
    <col min="2" max="3" width="6.57421875" style="0" bestFit="1" customWidth="1"/>
    <col min="4" max="4" width="6.00390625" style="0" customWidth="1"/>
    <col min="5" max="5" width="6.57421875" style="0" bestFit="1" customWidth="1"/>
    <col min="6" max="6" width="10.28125" style="0" bestFit="1" customWidth="1"/>
    <col min="7" max="9" width="6.57421875" style="0" bestFit="1" customWidth="1"/>
    <col min="10" max="11" width="8.7109375" style="0" customWidth="1"/>
    <col min="12" max="12" width="9.140625" style="0" bestFit="1" customWidth="1"/>
    <col min="13" max="14" width="7.7109375" style="0" customWidth="1"/>
    <col min="15" max="15" width="8.7109375" style="0" customWidth="1"/>
    <col min="17" max="17" width="12.8515625" style="0" bestFit="1" customWidth="1"/>
    <col min="18" max="18" width="12.7109375" style="0" customWidth="1"/>
    <col min="24" max="24" width="12.7109375" style="0" customWidth="1"/>
  </cols>
  <sheetData>
    <row r="1" spans="1:73" ht="20.25">
      <c r="A1" s="88" t="s">
        <v>41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95">
        <v>42583</v>
      </c>
      <c r="P1" s="96"/>
      <c r="Q1" s="96"/>
      <c r="R1" s="96"/>
      <c r="S1" s="96"/>
      <c r="T1" s="96"/>
      <c r="U1" s="96"/>
      <c r="V1" s="96"/>
      <c r="W1" s="96"/>
      <c r="X1" s="96"/>
      <c r="Y1" s="96"/>
      <c r="Z1" s="95">
        <v>42583</v>
      </c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84">
        <v>42583</v>
      </c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</row>
    <row r="2" spans="1:14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2.75">
      <c r="A3" s="89" t="s">
        <v>78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25" ht="12.75">
      <c r="A6" s="37"/>
      <c r="B6" s="90" t="s">
        <v>76</v>
      </c>
      <c r="C6" s="86"/>
      <c r="D6" s="86"/>
      <c r="E6" s="87"/>
      <c r="F6" s="69" t="s">
        <v>77</v>
      </c>
      <c r="G6" s="90" t="s">
        <v>75</v>
      </c>
      <c r="H6" s="86"/>
      <c r="I6" s="87"/>
      <c r="J6" s="86" t="s">
        <v>72</v>
      </c>
      <c r="K6" s="87"/>
      <c r="L6" s="53" t="s">
        <v>73</v>
      </c>
      <c r="M6" s="90" t="s">
        <v>74</v>
      </c>
      <c r="N6" s="86"/>
      <c r="O6" s="1"/>
      <c r="P6" s="1"/>
      <c r="Q6" s="58" t="s">
        <v>11</v>
      </c>
      <c r="R6" s="3" t="s">
        <v>12</v>
      </c>
      <c r="S6" s="4" t="s">
        <v>13</v>
      </c>
      <c r="T6" s="5" t="s">
        <v>14</v>
      </c>
      <c r="U6" s="68" t="s">
        <v>15</v>
      </c>
      <c r="V6" s="65"/>
      <c r="W6" s="78" t="s">
        <v>16</v>
      </c>
      <c r="X6" s="78"/>
      <c r="Y6" s="68" t="s">
        <v>49</v>
      </c>
    </row>
    <row r="7" spans="1:25" ht="12.75">
      <c r="A7" s="37"/>
      <c r="B7" s="91" t="s">
        <v>6</v>
      </c>
      <c r="C7" s="93" t="s">
        <v>7</v>
      </c>
      <c r="D7" s="26"/>
      <c r="E7" s="29"/>
      <c r="F7" s="24"/>
      <c r="G7" s="24"/>
      <c r="H7" s="26"/>
      <c r="I7" s="29"/>
      <c r="J7" s="26"/>
      <c r="K7" s="29"/>
      <c r="L7" s="32"/>
      <c r="M7" s="80" t="s">
        <v>42</v>
      </c>
      <c r="N7" s="81"/>
      <c r="O7" s="1" t="s">
        <v>17</v>
      </c>
      <c r="P7" s="1"/>
      <c r="Q7" s="59">
        <f>AVERAGE(B10:B19,B21:B30,B32:B42)</f>
        <v>22.106451612903232</v>
      </c>
      <c r="R7" s="8">
        <f>MAX(B10:B19,B21:B30,B32:B42)</f>
        <v>28</v>
      </c>
      <c r="S7" s="9">
        <f>MIN(B10:B19,B21:B30,B32:B42)</f>
        <v>14</v>
      </c>
      <c r="T7" s="1"/>
      <c r="U7" s="97" t="s">
        <v>79</v>
      </c>
      <c r="V7" s="22" t="s">
        <v>71</v>
      </c>
      <c r="W7" s="65" t="s">
        <v>52</v>
      </c>
      <c r="X7" s="65">
        <f>COUNTIF($C$10:$C$19,"&lt;=-10")+COUNTIF($C$21:$C$30,"&lt;=-10")+COUNTIF($C$32:$C$42,"&lt;=-10")</f>
        <v>0</v>
      </c>
      <c r="Y7" s="1"/>
    </row>
    <row r="8" spans="1:25" ht="12.75">
      <c r="A8" s="37"/>
      <c r="B8" s="91"/>
      <c r="C8" s="93"/>
      <c r="D8" s="26" t="s">
        <v>8</v>
      </c>
      <c r="E8" s="29"/>
      <c r="F8" s="24" t="s">
        <v>10</v>
      </c>
      <c r="G8" s="24"/>
      <c r="H8" s="26"/>
      <c r="I8" s="29"/>
      <c r="J8" s="26"/>
      <c r="K8" s="26"/>
      <c r="L8" s="32"/>
      <c r="M8" s="26" t="s">
        <v>43</v>
      </c>
      <c r="N8" s="26"/>
      <c r="O8" s="1" t="s">
        <v>18</v>
      </c>
      <c r="P8" s="1"/>
      <c r="Q8" s="59">
        <f>AVERAGE(C10:C19,C21:C30,C32:C42)</f>
        <v>12.309677419354836</v>
      </c>
      <c r="R8" s="8">
        <f>MAX(C10:C19,C21:C30,C32:C42)</f>
        <v>18.1</v>
      </c>
      <c r="S8" s="9">
        <f>MIN(C10:C19,C21:C30,C32:C42)</f>
        <v>5.3</v>
      </c>
      <c r="T8" s="1"/>
      <c r="U8" s="97" t="s">
        <v>80</v>
      </c>
      <c r="V8" s="22" t="s">
        <v>37</v>
      </c>
      <c r="W8" s="9" t="s">
        <v>53</v>
      </c>
      <c r="X8" s="9">
        <f>COUNTIF($B$10:$B$19,"&lt;=0")+COUNTIF($B$21:$B$30,"&lt;=0")+COUNTIF($B$32:$B$42,"&lt;=0")</f>
        <v>0</v>
      </c>
      <c r="Y8" s="97" t="s">
        <v>86</v>
      </c>
    </row>
    <row r="9" spans="1:25" ht="12.75">
      <c r="A9" s="28"/>
      <c r="B9" s="92"/>
      <c r="C9" s="94"/>
      <c r="D9" s="27" t="s">
        <v>9</v>
      </c>
      <c r="E9" s="31" t="s">
        <v>5</v>
      </c>
      <c r="F9" s="30" t="s">
        <v>6</v>
      </c>
      <c r="G9" s="30" t="s">
        <v>6</v>
      </c>
      <c r="H9" s="27" t="s">
        <v>7</v>
      </c>
      <c r="I9" s="31" t="s">
        <v>5</v>
      </c>
      <c r="J9" s="27" t="s">
        <v>0</v>
      </c>
      <c r="K9" s="27" t="s">
        <v>4</v>
      </c>
      <c r="L9" s="33" t="s">
        <v>0</v>
      </c>
      <c r="M9" s="27" t="s">
        <v>44</v>
      </c>
      <c r="N9" s="27" t="s">
        <v>45</v>
      </c>
      <c r="O9" s="1" t="s">
        <v>19</v>
      </c>
      <c r="P9" s="1"/>
      <c r="Q9" s="59">
        <f>AVERAGE(E10:E19,E21:E30,E32:E42)</f>
        <v>16.945161290322584</v>
      </c>
      <c r="R9" s="8">
        <f>MAX(E10:E19,E21:E30,E32:E42)</f>
        <v>22.8</v>
      </c>
      <c r="S9" s="9">
        <f>MIN(E10:E19,E21:E30,E32:E42)</f>
        <v>10.6</v>
      </c>
      <c r="T9" s="1"/>
      <c r="U9" s="97" t="s">
        <v>81</v>
      </c>
      <c r="V9" s="22" t="s">
        <v>38</v>
      </c>
      <c r="W9" s="10" t="s">
        <v>54</v>
      </c>
      <c r="X9" s="10">
        <f>COUNTIF($C$10:$C$19,"&lt;0")+COUNTIF($C$21:$C$30,"&lt;0")+COUNTIF($C$32:$C$42,"&lt;0")</f>
        <v>0</v>
      </c>
      <c r="Y9" s="97" t="s">
        <v>86</v>
      </c>
    </row>
    <row r="10" spans="1:25" ht="12.75">
      <c r="A10" s="29">
        <v>1</v>
      </c>
      <c r="B10" s="38">
        <v>20.4</v>
      </c>
      <c r="C10" s="39">
        <v>12.5</v>
      </c>
      <c r="D10" s="39">
        <f aca="true" t="shared" si="0" ref="D10:D19">SUM(B10-C10)</f>
        <v>7.899999999999999</v>
      </c>
      <c r="E10" s="37">
        <v>16</v>
      </c>
      <c r="F10" s="38">
        <v>23</v>
      </c>
      <c r="G10" s="50">
        <v>1018.6</v>
      </c>
      <c r="H10" s="51">
        <v>1016.1</v>
      </c>
      <c r="I10" s="75">
        <v>1017.6</v>
      </c>
      <c r="J10" s="39">
        <v>0</v>
      </c>
      <c r="K10" s="39">
        <f>J10</f>
        <v>0</v>
      </c>
      <c r="L10" s="70">
        <v>7.95</v>
      </c>
      <c r="M10" s="39">
        <v>0</v>
      </c>
      <c r="N10" s="25">
        <v>0</v>
      </c>
      <c r="O10" s="1"/>
      <c r="P10" s="1"/>
      <c r="Q10" s="59"/>
      <c r="R10" s="8"/>
      <c r="S10" s="9"/>
      <c r="T10" s="1"/>
      <c r="U10" s="1"/>
      <c r="V10" s="22" t="s">
        <v>50</v>
      </c>
      <c r="W10" s="11" t="s">
        <v>55</v>
      </c>
      <c r="X10" s="11">
        <f>COUNTIF($B$10:$B$19,"&lt;10")+COUNTIF($B$21:$B$30,"&lt;10")+COUNTIF($B$32:$B$42,"&lt;10")</f>
        <v>0</v>
      </c>
      <c r="Y10" s="1"/>
    </row>
    <row r="11" spans="1:25" ht="12.75">
      <c r="A11" s="29">
        <v>2</v>
      </c>
      <c r="B11" s="38">
        <v>20.3</v>
      </c>
      <c r="C11" s="39">
        <v>12.3</v>
      </c>
      <c r="D11" s="39">
        <f t="shared" si="0"/>
        <v>8</v>
      </c>
      <c r="E11" s="37">
        <v>16.3</v>
      </c>
      <c r="F11" s="38">
        <v>26</v>
      </c>
      <c r="G11" s="50">
        <v>1018.6</v>
      </c>
      <c r="H11" s="51">
        <v>1017.4</v>
      </c>
      <c r="I11" s="75">
        <v>1018</v>
      </c>
      <c r="J11" s="39">
        <v>0</v>
      </c>
      <c r="K11" s="39">
        <f>K10+J11</f>
        <v>0</v>
      </c>
      <c r="L11" s="70">
        <v>3.15</v>
      </c>
      <c r="M11" s="39">
        <v>0</v>
      </c>
      <c r="N11" s="25">
        <v>0</v>
      </c>
      <c r="O11" s="1" t="s">
        <v>20</v>
      </c>
      <c r="P11" s="1"/>
      <c r="Q11" s="59">
        <f>AVERAGE(F10:F19,F21:F30,F32:F42)</f>
        <v>24.35483870967742</v>
      </c>
      <c r="R11" s="8">
        <f>MAX(F10:F19,F21:F30,F32:F42)</f>
        <v>52</v>
      </c>
      <c r="S11" s="9">
        <f>MIN(F10:F19,F21:F30,F32:F42)</f>
        <v>16</v>
      </c>
      <c r="T11" s="1"/>
      <c r="U11" s="1"/>
      <c r="V11" s="22" t="s">
        <v>51</v>
      </c>
      <c r="W11" s="12" t="s">
        <v>56</v>
      </c>
      <c r="X11" s="12">
        <f>COUNTIF($B$10:$B$19,"&gt;=20")+COUNTIF($B$21:$B$30,"&gt;=20")+COUNTIF($B$32:$B$42,"&gt;=20")</f>
        <v>22</v>
      </c>
      <c r="Y11" s="1"/>
    </row>
    <row r="12" spans="1:25" ht="12.75">
      <c r="A12" s="29">
        <v>3</v>
      </c>
      <c r="B12" s="38">
        <v>25.9</v>
      </c>
      <c r="C12" s="39">
        <v>14.6</v>
      </c>
      <c r="D12" s="39">
        <f t="shared" si="0"/>
        <v>11.299999999999999</v>
      </c>
      <c r="E12" s="37">
        <v>19.6</v>
      </c>
      <c r="F12" s="38">
        <v>26</v>
      </c>
      <c r="G12" s="50">
        <v>1018.2</v>
      </c>
      <c r="H12" s="51">
        <v>1012.8</v>
      </c>
      <c r="I12" s="75">
        <v>1015.1</v>
      </c>
      <c r="J12" s="39">
        <v>0</v>
      </c>
      <c r="K12" s="39">
        <f aca="true" t="shared" si="1" ref="K12:K19">K11+J12</f>
        <v>0</v>
      </c>
      <c r="L12" s="70">
        <v>10.95</v>
      </c>
      <c r="M12" s="39">
        <v>0</v>
      </c>
      <c r="N12" s="25">
        <v>0</v>
      </c>
      <c r="O12" s="1"/>
      <c r="P12" s="1"/>
      <c r="Q12" s="59"/>
      <c r="R12" s="8"/>
      <c r="S12" s="9"/>
      <c r="T12" s="1"/>
      <c r="V12" s="22" t="s">
        <v>39</v>
      </c>
      <c r="W12" s="13" t="s">
        <v>57</v>
      </c>
      <c r="X12" s="13">
        <f>COUNTIF($B$10:$B$19,"&gt;=25")+COUNTIF($B$21:$B$30,"&gt;=25")+COUNTIF($B$32:$B$42,"&gt;=25")</f>
        <v>10</v>
      </c>
      <c r="Y12" s="97" t="s">
        <v>87</v>
      </c>
    </row>
    <row r="13" spans="1:25" ht="12.75">
      <c r="A13" s="29">
        <v>4</v>
      </c>
      <c r="B13" s="38">
        <v>25.8</v>
      </c>
      <c r="C13" s="39">
        <v>12.8</v>
      </c>
      <c r="D13" s="39">
        <f t="shared" si="0"/>
        <v>13</v>
      </c>
      <c r="E13" s="37">
        <v>18.6</v>
      </c>
      <c r="F13" s="38">
        <v>29</v>
      </c>
      <c r="G13" s="50">
        <v>1013.5</v>
      </c>
      <c r="H13" s="51">
        <v>1007.8</v>
      </c>
      <c r="I13" s="75">
        <v>1011.1</v>
      </c>
      <c r="J13" s="39">
        <v>25</v>
      </c>
      <c r="K13" s="39">
        <f t="shared" si="1"/>
        <v>25</v>
      </c>
      <c r="L13" s="70">
        <v>6.7</v>
      </c>
      <c r="M13" s="39">
        <v>0</v>
      </c>
      <c r="N13" s="25">
        <v>0</v>
      </c>
      <c r="O13" s="1" t="s">
        <v>26</v>
      </c>
      <c r="P13" s="1"/>
      <c r="Q13" s="59">
        <f>AVERAGE(G10:G19,G21:G30,G32:G42)</f>
        <v>1020.267741935484</v>
      </c>
      <c r="R13" s="8">
        <f>MAX(G10:G19,G21:G30,G32:G42)</f>
        <v>1027.9</v>
      </c>
      <c r="S13" s="9">
        <f>MIN(G10:G19,G21:G30,G32:G42)</f>
        <v>1011</v>
      </c>
      <c r="T13" s="1"/>
      <c r="U13" s="1"/>
      <c r="V13" s="22" t="s">
        <v>40</v>
      </c>
      <c r="W13" s="14" t="s">
        <v>58</v>
      </c>
      <c r="X13" s="14">
        <f>COUNTIF($B$10:$B$19,"&gt;=30")+COUNTIF($B$21:$B$30,"&gt;=30")+COUNTIF($B$32:$B$42,"&gt;=30")</f>
        <v>0</v>
      </c>
      <c r="Y13" s="97" t="s">
        <v>88</v>
      </c>
    </row>
    <row r="14" spans="1:25" ht="12.75">
      <c r="A14" s="29">
        <v>5</v>
      </c>
      <c r="B14" s="38">
        <v>14</v>
      </c>
      <c r="C14" s="39">
        <v>9.6</v>
      </c>
      <c r="D14" s="39">
        <f t="shared" si="0"/>
        <v>4.4</v>
      </c>
      <c r="E14" s="37">
        <v>11.9</v>
      </c>
      <c r="F14" s="38">
        <v>26</v>
      </c>
      <c r="G14" s="50">
        <v>1024.1</v>
      </c>
      <c r="H14" s="51">
        <v>1011.8</v>
      </c>
      <c r="I14" s="75">
        <v>1017.8</v>
      </c>
      <c r="J14" s="39">
        <v>24.4</v>
      </c>
      <c r="K14" s="39">
        <f t="shared" si="1"/>
        <v>49.4</v>
      </c>
      <c r="L14" s="70">
        <v>0.62</v>
      </c>
      <c r="M14" s="39">
        <v>0</v>
      </c>
      <c r="N14" s="25">
        <v>0</v>
      </c>
      <c r="O14" s="1" t="s">
        <v>28</v>
      </c>
      <c r="P14" s="1"/>
      <c r="Q14" s="59">
        <f>AVERAGE(H10:H19,H21:H30,H32:H42)</f>
        <v>1016.3387096774193</v>
      </c>
      <c r="R14" s="8">
        <f>MAX(H10:H19,H21:H30,H32:H42)</f>
        <v>1025.5</v>
      </c>
      <c r="S14" s="9">
        <f>MIN(H10:H19,H21:H30,H32:H42)</f>
        <v>1007.8</v>
      </c>
      <c r="T14" s="1"/>
      <c r="U14" s="1"/>
      <c r="V14" s="22" t="s">
        <v>48</v>
      </c>
      <c r="W14" s="15" t="s">
        <v>59</v>
      </c>
      <c r="X14" s="15">
        <f>COUNTIF($C$10:$C$19,"&gt;=20")+COUNTIF($C$21:$C$30,"&gt;=20")+COUNTIF($C$32:$C$42,"&gt;=20")</f>
        <v>0</v>
      </c>
      <c r="Y14" s="16"/>
    </row>
    <row r="15" spans="1:25" ht="12.75">
      <c r="A15" s="29">
        <v>6</v>
      </c>
      <c r="B15" s="38">
        <v>19</v>
      </c>
      <c r="C15" s="39">
        <v>8.9</v>
      </c>
      <c r="D15" s="39">
        <f t="shared" si="0"/>
        <v>10.1</v>
      </c>
      <c r="E15" s="37">
        <v>13.8</v>
      </c>
      <c r="F15" s="38">
        <v>23</v>
      </c>
      <c r="G15" s="50">
        <v>1027.3</v>
      </c>
      <c r="H15" s="51">
        <v>1023.9</v>
      </c>
      <c r="I15" s="75">
        <v>1025.6</v>
      </c>
      <c r="J15" s="39">
        <v>0</v>
      </c>
      <c r="K15" s="39">
        <f t="shared" si="1"/>
        <v>49.4</v>
      </c>
      <c r="L15" s="70">
        <v>6.8</v>
      </c>
      <c r="M15" s="39">
        <v>0</v>
      </c>
      <c r="N15" s="25">
        <v>0</v>
      </c>
      <c r="O15" s="1" t="s">
        <v>30</v>
      </c>
      <c r="P15" s="1"/>
      <c r="Q15" s="59">
        <f>AVERAGE(I10:I19,I21:I30,I32:I42)</f>
        <v>1018.1741935483869</v>
      </c>
      <c r="R15" s="8">
        <f>MAX(I10:I19,I21:I30,I32:I42)</f>
        <v>1026.8</v>
      </c>
      <c r="S15" s="9">
        <f>MIN(I10:I19,I21:I30,I32:I42)</f>
        <v>1009.8</v>
      </c>
      <c r="T15" s="1"/>
      <c r="U15" s="7"/>
      <c r="V15" s="1"/>
      <c r="W15" s="1"/>
      <c r="X15" s="1"/>
      <c r="Y15" s="16"/>
    </row>
    <row r="16" spans="1:25" ht="12.75">
      <c r="A16" s="29">
        <v>7</v>
      </c>
      <c r="B16" s="38">
        <v>21.4</v>
      </c>
      <c r="C16" s="39">
        <v>10.1</v>
      </c>
      <c r="D16" s="39">
        <f t="shared" si="0"/>
        <v>11.299999999999999</v>
      </c>
      <c r="E16" s="37">
        <v>16</v>
      </c>
      <c r="F16" s="38">
        <v>29</v>
      </c>
      <c r="G16" s="50">
        <v>1027.3</v>
      </c>
      <c r="H16" s="51">
        <v>1023.3</v>
      </c>
      <c r="I16" s="75">
        <v>1025.5</v>
      </c>
      <c r="J16" s="39">
        <v>0</v>
      </c>
      <c r="K16" s="39">
        <f t="shared" si="1"/>
        <v>49.4</v>
      </c>
      <c r="L16" s="70">
        <v>11.35</v>
      </c>
      <c r="M16" s="39">
        <v>0</v>
      </c>
      <c r="N16" s="25">
        <v>0</v>
      </c>
      <c r="O16" s="1"/>
      <c r="P16" s="1"/>
      <c r="Q16" s="59"/>
      <c r="R16" s="8"/>
      <c r="S16" s="9"/>
      <c r="T16" s="1"/>
      <c r="U16" s="1"/>
      <c r="V16" s="1"/>
      <c r="W16" s="6" t="s">
        <v>21</v>
      </c>
      <c r="X16" s="6"/>
      <c r="Y16" s="16"/>
    </row>
    <row r="17" spans="1:25" ht="12.75">
      <c r="A17" s="29">
        <v>8</v>
      </c>
      <c r="B17" s="38">
        <v>23.6</v>
      </c>
      <c r="C17" s="39">
        <v>12.1</v>
      </c>
      <c r="D17" s="39">
        <f t="shared" si="0"/>
        <v>11.500000000000002</v>
      </c>
      <c r="E17" s="37">
        <v>17.9</v>
      </c>
      <c r="F17" s="38">
        <v>19</v>
      </c>
      <c r="G17" s="50">
        <v>1023.5</v>
      </c>
      <c r="H17" s="51">
        <v>1018.5</v>
      </c>
      <c r="I17" s="75">
        <v>1020.7</v>
      </c>
      <c r="J17" s="39">
        <v>0</v>
      </c>
      <c r="K17" s="39">
        <f t="shared" si="1"/>
        <v>49.4</v>
      </c>
      <c r="L17" s="70">
        <v>10.48</v>
      </c>
      <c r="M17" s="39">
        <v>0</v>
      </c>
      <c r="N17" s="25">
        <v>0</v>
      </c>
      <c r="O17" s="1" t="s">
        <v>32</v>
      </c>
      <c r="P17" s="1"/>
      <c r="Q17" s="59">
        <f>AVERAGE(J10:J19,J21:J30,J32:J42)</f>
        <v>3.6645161290322568</v>
      </c>
      <c r="R17" s="8">
        <f>MAX(J10:J19,J21:J30,J32:J42)</f>
        <v>25</v>
      </c>
      <c r="S17" s="9">
        <f>MIN(J10:J19,J21:J30,J32:J42)</f>
        <v>0</v>
      </c>
      <c r="T17" s="1" t="s">
        <v>33</v>
      </c>
      <c r="U17" s="65" t="s">
        <v>82</v>
      </c>
      <c r="V17" s="1"/>
      <c r="W17" s="15" t="s">
        <v>22</v>
      </c>
      <c r="X17" s="15">
        <f>COUNTIF($F$10:$F$19,"&gt;=61.8")+COUNTIF($F$21:$F$30,"&gt;=61.8")+COUNTIF($F$32:$F$42,"&gt;=61.8")</f>
        <v>0</v>
      </c>
      <c r="Y17" s="1"/>
    </row>
    <row r="18" spans="1:25" ht="12.75">
      <c r="A18" s="29">
        <v>9</v>
      </c>
      <c r="B18" s="38">
        <v>16.6</v>
      </c>
      <c r="C18" s="39">
        <v>9.2</v>
      </c>
      <c r="D18" s="39">
        <f t="shared" si="0"/>
        <v>7.400000000000002</v>
      </c>
      <c r="E18" s="37">
        <v>13.7</v>
      </c>
      <c r="F18" s="38">
        <v>29</v>
      </c>
      <c r="G18" s="50">
        <v>1019.5</v>
      </c>
      <c r="H18" s="51">
        <v>1016.6</v>
      </c>
      <c r="I18" s="75">
        <v>1018</v>
      </c>
      <c r="J18" s="39">
        <v>4.8</v>
      </c>
      <c r="K18" s="39">
        <f t="shared" si="1"/>
        <v>54.199999999999996</v>
      </c>
      <c r="L18" s="70">
        <v>0.03</v>
      </c>
      <c r="M18" s="39">
        <v>0</v>
      </c>
      <c r="N18" s="25">
        <v>0</v>
      </c>
      <c r="O18" s="1" t="s">
        <v>35</v>
      </c>
      <c r="P18" s="1"/>
      <c r="Q18" s="19"/>
      <c r="R18" s="7"/>
      <c r="S18" s="7"/>
      <c r="T18" s="20">
        <f>MAX(K10:K19,K21:K30,K32:K42)</f>
        <v>113.59999999999997</v>
      </c>
      <c r="U18" s="97" t="s">
        <v>83</v>
      </c>
      <c r="V18" s="1"/>
      <c r="W18" s="8" t="s">
        <v>23</v>
      </c>
      <c r="X18" s="8">
        <f>COUNTIF($F$10:$F$19,"&gt;=49.9")+COUNTIF($F$21:$F$30,"&gt;=49.9")+COUNTIF($F$32:$F$42,"&gt;=49.9")-COUNTIF($F$10:$F$19,"&gt;61.7")-COUNTIF($F$21:$F$30,"&gt;61.7")-COUNTIF($F$32:$F$42,"&gt;61.7")</f>
        <v>1</v>
      </c>
      <c r="Y18" s="1"/>
    </row>
    <row r="19" spans="1:25" ht="12.75">
      <c r="A19" s="29">
        <v>10</v>
      </c>
      <c r="B19" s="38">
        <v>15.7</v>
      </c>
      <c r="C19" s="39">
        <v>7.2</v>
      </c>
      <c r="D19" s="39">
        <f t="shared" si="0"/>
        <v>8.5</v>
      </c>
      <c r="E19" s="37">
        <v>10.6</v>
      </c>
      <c r="F19" s="38">
        <v>26</v>
      </c>
      <c r="G19" s="50">
        <v>1022.3</v>
      </c>
      <c r="H19" s="51">
        <v>1018.3</v>
      </c>
      <c r="I19" s="75">
        <v>1019.7</v>
      </c>
      <c r="J19" s="39">
        <v>1</v>
      </c>
      <c r="K19" s="39">
        <f t="shared" si="1"/>
        <v>55.199999999999996</v>
      </c>
      <c r="L19" s="70">
        <v>2.55</v>
      </c>
      <c r="M19" s="39">
        <v>0</v>
      </c>
      <c r="N19" s="25">
        <v>0</v>
      </c>
      <c r="O19" s="1"/>
      <c r="P19" s="1"/>
      <c r="Q19" s="59"/>
      <c r="R19" s="8"/>
      <c r="S19" s="9"/>
      <c r="V19" s="1"/>
      <c r="W19" s="14" t="s">
        <v>24</v>
      </c>
      <c r="X19" s="14">
        <f>COUNTIF($F$10:$F$19,"&gt;=38.8")+COUNTIF($F$21:$F$30,"&gt;=38.8")+COUNTIF($F$32:$F$42,"&gt;=38.8")-COUNTIF($F$10:$F$19,"&gt;49.8")-COUNTIF($F$21:$F$30,"&gt;49.8")-COUNTIF($F$32:$F$42,"&gt;49.8")</f>
        <v>0</v>
      </c>
      <c r="Y19" s="1"/>
    </row>
    <row r="20" spans="1:25" ht="12.75">
      <c r="A20" s="34" t="s">
        <v>1</v>
      </c>
      <c r="B20" s="42">
        <f aca="true" t="shared" si="2" ref="B20:I20">AVERAGE(B10:B19)</f>
        <v>20.269999999999996</v>
      </c>
      <c r="C20" s="43">
        <f t="shared" si="2"/>
        <v>10.93</v>
      </c>
      <c r="D20" s="43">
        <f t="shared" si="2"/>
        <v>9.34</v>
      </c>
      <c r="E20" s="44">
        <f t="shared" si="2"/>
        <v>15.439999999999998</v>
      </c>
      <c r="F20" s="42">
        <f t="shared" si="2"/>
        <v>25.6</v>
      </c>
      <c r="G20" s="42">
        <f t="shared" si="2"/>
        <v>1021.29</v>
      </c>
      <c r="H20" s="43">
        <f t="shared" si="2"/>
        <v>1016.65</v>
      </c>
      <c r="I20" s="44">
        <f t="shared" si="2"/>
        <v>1018.9099999999999</v>
      </c>
      <c r="J20" s="43">
        <f>AVERAGE(J10:J19)</f>
        <v>5.52</v>
      </c>
      <c r="K20" s="43">
        <f>MAX(K10:K19)</f>
        <v>55.199999999999996</v>
      </c>
      <c r="L20" s="71">
        <f>AVERAGE(L10:L19)</f>
        <v>6.058</v>
      </c>
      <c r="M20" s="43">
        <f>SUM(M10:M19)</f>
        <v>0</v>
      </c>
      <c r="N20" s="43">
        <f>AVERAGE(N10:N19)</f>
        <v>0</v>
      </c>
      <c r="O20" s="1" t="s">
        <v>36</v>
      </c>
      <c r="P20" s="1"/>
      <c r="Q20" s="59">
        <f>AVERAGE(L10:L19,L21:L30,L32:L42)</f>
        <v>7.285806451612903</v>
      </c>
      <c r="R20" s="73">
        <f>MAX(L10:L19,L21:L30,L32:L42)</f>
        <v>11.67</v>
      </c>
      <c r="S20" s="74">
        <f>MIN(L10:L19,L21:L30,L32:L42)</f>
        <v>0</v>
      </c>
      <c r="T20" s="23" t="s">
        <v>84</v>
      </c>
      <c r="U20" s="97" t="s">
        <v>85</v>
      </c>
      <c r="V20" s="1"/>
      <c r="W20" s="13" t="s">
        <v>25</v>
      </c>
      <c r="X20" s="13">
        <f>COUNTIF($F$10:$F$19,"&gt;=28.6")+COUNTIF($F$21:$F$30,"&gt;=28.6")+COUNTIF($F$32:$F$42,"&gt;=28.6")-COUNTIF($F$10:$F$19,"&gt;38.7")-COUNTIF($F$21:$F$30,"&gt;38.7")-COUNTIF($F$32:$F$42,"&gt;38.7")</f>
        <v>6</v>
      </c>
      <c r="Y20" s="1"/>
    </row>
    <row r="21" spans="1:25" ht="12.75">
      <c r="A21" s="29">
        <v>11</v>
      </c>
      <c r="B21" s="38">
        <v>16.6</v>
      </c>
      <c r="C21" s="39">
        <v>5.3</v>
      </c>
      <c r="D21" s="39">
        <f aca="true" t="shared" si="3" ref="D21:D30">SUM(B21-C21)</f>
        <v>11.3</v>
      </c>
      <c r="E21" s="37">
        <v>11.3</v>
      </c>
      <c r="F21" s="38">
        <v>18</v>
      </c>
      <c r="G21" s="50">
        <v>1025.2</v>
      </c>
      <c r="H21" s="51">
        <v>1022.2</v>
      </c>
      <c r="I21" s="75">
        <v>1023.3</v>
      </c>
      <c r="J21" s="39">
        <v>0</v>
      </c>
      <c r="K21" s="39">
        <f>K19+J21</f>
        <v>55.199999999999996</v>
      </c>
      <c r="L21" s="70">
        <v>9.58</v>
      </c>
      <c r="M21" s="39">
        <v>0</v>
      </c>
      <c r="N21" s="25">
        <v>0</v>
      </c>
      <c r="O21" s="1"/>
      <c r="P21" s="1"/>
      <c r="Q21" s="59"/>
      <c r="R21" s="8"/>
      <c r="S21" s="9"/>
      <c r="T21" s="1"/>
      <c r="U21" s="1"/>
      <c r="V21" s="1"/>
      <c r="W21" s="17" t="s">
        <v>27</v>
      </c>
      <c r="X21" s="18">
        <f>COUNTIF($F$10:$F$19,"&gt;=19.5")+COUNTIF($F$21:$F$30,"&gt;=19.5")+COUNTIF($F$32:$F$42,"&gt;=19.5")-COUNTIF($F$10:$F$19,"&gt;28.5")-COUNTIF($F$21:$F$30,"&gt;28.5")-COUNTIF($F$32:$F$42,"&gt;28.5")</f>
        <v>14</v>
      </c>
      <c r="Y21" s="1"/>
    </row>
    <row r="22" spans="1:73" ht="12.75">
      <c r="A22" s="29">
        <v>12</v>
      </c>
      <c r="B22" s="38">
        <v>20.4</v>
      </c>
      <c r="C22" s="39">
        <v>10.3</v>
      </c>
      <c r="D22" s="39">
        <f t="shared" si="3"/>
        <v>10.099999999999998</v>
      </c>
      <c r="E22" s="37">
        <v>14.5</v>
      </c>
      <c r="F22" s="38">
        <v>19</v>
      </c>
      <c r="G22" s="50">
        <v>1026.6</v>
      </c>
      <c r="H22" s="51">
        <v>1024.7</v>
      </c>
      <c r="I22" s="75">
        <v>1025.5</v>
      </c>
      <c r="J22" s="39">
        <v>0</v>
      </c>
      <c r="K22" s="39">
        <f>K21+J22</f>
        <v>55.199999999999996</v>
      </c>
      <c r="L22" s="70">
        <v>7.62</v>
      </c>
      <c r="M22" s="39">
        <v>0</v>
      </c>
      <c r="N22" s="25">
        <v>0</v>
      </c>
      <c r="O22" s="1" t="s">
        <v>46</v>
      </c>
      <c r="P22" s="1"/>
      <c r="Q22" s="59">
        <f>AVERAGE(M10:M19,M21:M30,M32:M42)</f>
        <v>0</v>
      </c>
      <c r="R22" s="8">
        <f>MAX(M10:M19,M21:M30,M32:M42)</f>
        <v>0</v>
      </c>
      <c r="S22" s="9">
        <f>MIN(M10:M19,M21:M30,M32:M42)</f>
        <v>0</v>
      </c>
      <c r="T22" s="61">
        <f>SUM(M10:M19,M21:M30,M32:M42)</f>
        <v>0</v>
      </c>
      <c r="U22" s="1"/>
      <c r="V22" s="1"/>
      <c r="W22" s="12" t="s">
        <v>29</v>
      </c>
      <c r="X22" s="12">
        <f>COUNTIF($F$10:$F$19,"&gt;=12")+COUNTIF($F$21:$F$30,"&gt;=12")+COUNTIF($F$32:$F$42,"&gt;=12")-COUNTIF($F$10:$F$19,"&gt;19.4")-COUNTIF($F$21:$F$30,"&gt;19.4")-COUNTIF($F$32:$F$42,"&gt;19.4")</f>
        <v>10</v>
      </c>
      <c r="Y22" s="1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</row>
    <row r="23" spans="1:73" ht="12.75">
      <c r="A23" s="29">
        <v>13</v>
      </c>
      <c r="B23" s="38">
        <v>24.2</v>
      </c>
      <c r="C23" s="39">
        <v>10.6</v>
      </c>
      <c r="D23" s="39">
        <f t="shared" si="3"/>
        <v>13.6</v>
      </c>
      <c r="E23" s="37">
        <v>17.6</v>
      </c>
      <c r="F23" s="38">
        <v>18</v>
      </c>
      <c r="G23" s="50">
        <v>1024.8</v>
      </c>
      <c r="H23" s="51">
        <v>1021.3</v>
      </c>
      <c r="I23" s="75">
        <v>1023</v>
      </c>
      <c r="J23" s="39">
        <v>0</v>
      </c>
      <c r="K23" s="39">
        <f aca="true" t="shared" si="4" ref="K23:K30">K22+J23</f>
        <v>55.199999999999996</v>
      </c>
      <c r="L23" s="70">
        <v>11.47</v>
      </c>
      <c r="M23" s="39">
        <v>0</v>
      </c>
      <c r="N23" s="25">
        <v>0</v>
      </c>
      <c r="O23" s="1" t="s">
        <v>47</v>
      </c>
      <c r="Q23" s="59">
        <f>AVERAGE(N10:N19,N21:N30,N32:N42)</f>
        <v>0</v>
      </c>
      <c r="R23" s="8">
        <f>MAX(N10:N19,N21:N30,N32:N42)</f>
        <v>0</v>
      </c>
      <c r="S23" s="9">
        <f>MIN(N10:N19,N21:N30,N32:N42)</f>
        <v>0</v>
      </c>
      <c r="V23" s="1"/>
      <c r="W23" s="7" t="s">
        <v>31</v>
      </c>
      <c r="X23" s="7">
        <f>COUNTIF($F$10:$F$19,"&lt;=11.9")+COUNTIF($F$21:$F$30,"&lt;=11.9")+COUNTIF($F$32:$F$42,"&lt;=11.9")</f>
        <v>0</v>
      </c>
      <c r="Y23" s="1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</row>
    <row r="24" spans="1:73" ht="12.75">
      <c r="A24" s="29">
        <v>14</v>
      </c>
      <c r="B24" s="38">
        <v>25.8</v>
      </c>
      <c r="C24" s="39">
        <v>14.2</v>
      </c>
      <c r="D24" s="39">
        <f t="shared" si="3"/>
        <v>11.600000000000001</v>
      </c>
      <c r="E24" s="37">
        <v>20.1</v>
      </c>
      <c r="F24" s="38">
        <v>18</v>
      </c>
      <c r="G24" s="50">
        <v>1021.6</v>
      </c>
      <c r="H24" s="51">
        <v>1018</v>
      </c>
      <c r="I24" s="75">
        <v>1019.9</v>
      </c>
      <c r="J24" s="39">
        <v>0</v>
      </c>
      <c r="K24" s="39">
        <f t="shared" si="4"/>
        <v>55.199999999999996</v>
      </c>
      <c r="L24" s="70">
        <v>11.67</v>
      </c>
      <c r="M24" s="39">
        <v>0</v>
      </c>
      <c r="N24" s="25">
        <v>0</v>
      </c>
      <c r="T24" s="1"/>
      <c r="U24" s="1"/>
      <c r="V24" s="1"/>
      <c r="W24" s="1"/>
      <c r="X24" s="1"/>
      <c r="Y24" s="1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</row>
    <row r="25" spans="1:73" ht="12.75">
      <c r="A25" s="29">
        <v>15</v>
      </c>
      <c r="B25" s="38">
        <v>25.5</v>
      </c>
      <c r="C25" s="39">
        <v>14.6</v>
      </c>
      <c r="D25" s="39">
        <f t="shared" si="3"/>
        <v>10.9</v>
      </c>
      <c r="E25" s="37">
        <v>19.9</v>
      </c>
      <c r="F25" s="38">
        <v>18</v>
      </c>
      <c r="G25" s="50">
        <v>1018.9</v>
      </c>
      <c r="H25" s="51">
        <v>1015.1</v>
      </c>
      <c r="I25" s="75">
        <v>1016.9</v>
      </c>
      <c r="J25" s="39">
        <v>0</v>
      </c>
      <c r="K25" s="39">
        <f t="shared" si="4"/>
        <v>55.199999999999996</v>
      </c>
      <c r="L25" s="70">
        <v>9.02</v>
      </c>
      <c r="M25" s="39">
        <v>0</v>
      </c>
      <c r="N25" s="25">
        <v>0</v>
      </c>
      <c r="T25" s="1"/>
      <c r="U25" s="1"/>
      <c r="V25" s="1"/>
      <c r="W25" s="2" t="s">
        <v>34</v>
      </c>
      <c r="X25" s="1"/>
      <c r="Y25" s="1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</row>
    <row r="26" spans="1:73" ht="12.75">
      <c r="A26" s="29">
        <v>16</v>
      </c>
      <c r="B26" s="38">
        <v>25.6</v>
      </c>
      <c r="C26" s="39">
        <v>14.6</v>
      </c>
      <c r="D26" s="39">
        <f t="shared" si="3"/>
        <v>11.000000000000002</v>
      </c>
      <c r="E26" s="37">
        <v>19.6</v>
      </c>
      <c r="F26" s="38">
        <v>21</v>
      </c>
      <c r="G26" s="50">
        <v>1015.7</v>
      </c>
      <c r="H26" s="51">
        <v>1011.2</v>
      </c>
      <c r="I26" s="75">
        <v>1013.3</v>
      </c>
      <c r="J26" s="39">
        <v>0</v>
      </c>
      <c r="K26" s="39">
        <f t="shared" si="4"/>
        <v>55.199999999999996</v>
      </c>
      <c r="L26" s="70">
        <v>10.28</v>
      </c>
      <c r="M26" s="39">
        <v>0</v>
      </c>
      <c r="N26" s="25">
        <v>0</v>
      </c>
      <c r="T26" s="1"/>
      <c r="U26" s="7"/>
      <c r="V26" s="1"/>
      <c r="W26" s="11" t="s">
        <v>60</v>
      </c>
      <c r="X26" s="11">
        <f>COUNTIF(N10:N19,"&gt;0")+COUNTIF(N21:N30,"&gt;0")+COUNTIF(N32:N42,"&gt;0")</f>
        <v>0</v>
      </c>
      <c r="Y26" s="1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</row>
    <row r="27" spans="1:73" ht="12.75">
      <c r="A27" s="29">
        <v>17</v>
      </c>
      <c r="B27" s="38">
        <v>23.6</v>
      </c>
      <c r="C27" s="39">
        <v>13.2</v>
      </c>
      <c r="D27" s="39">
        <f t="shared" si="3"/>
        <v>10.400000000000002</v>
      </c>
      <c r="E27" s="37">
        <v>16.8</v>
      </c>
      <c r="F27" s="38">
        <v>52</v>
      </c>
      <c r="G27" s="50">
        <v>1011.9</v>
      </c>
      <c r="H27" s="51">
        <v>1008.1</v>
      </c>
      <c r="I27" s="75">
        <v>1010.3</v>
      </c>
      <c r="J27" s="39">
        <v>20.4</v>
      </c>
      <c r="K27" s="39">
        <f t="shared" si="4"/>
        <v>75.6</v>
      </c>
      <c r="L27" s="70">
        <v>5.2</v>
      </c>
      <c r="M27" s="39">
        <v>0</v>
      </c>
      <c r="N27" s="25">
        <v>0</v>
      </c>
      <c r="T27" s="1"/>
      <c r="U27" s="1"/>
      <c r="V27" s="1"/>
      <c r="W27" s="62" t="s">
        <v>61</v>
      </c>
      <c r="X27" s="62">
        <f>COUNTIF(N10:N19,"&gt;=1")+COUNTIF(N21:N30,"&gt;=1")+COUNTIF(N32:N42,"&gt;=1")</f>
        <v>0</v>
      </c>
      <c r="Y27" s="1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</row>
    <row r="28" spans="1:73" ht="12.75">
      <c r="A28" s="29">
        <v>18</v>
      </c>
      <c r="B28" s="38">
        <v>18.6</v>
      </c>
      <c r="C28" s="39">
        <v>12.9</v>
      </c>
      <c r="D28" s="39">
        <f t="shared" si="3"/>
        <v>5.700000000000001</v>
      </c>
      <c r="E28" s="37">
        <v>15.6</v>
      </c>
      <c r="F28" s="38">
        <v>24</v>
      </c>
      <c r="G28" s="50">
        <v>1011</v>
      </c>
      <c r="H28" s="51">
        <v>1008.8</v>
      </c>
      <c r="I28" s="75">
        <v>1009.8</v>
      </c>
      <c r="J28" s="39">
        <v>3.6</v>
      </c>
      <c r="K28" s="39">
        <f t="shared" si="4"/>
        <v>79.19999999999999</v>
      </c>
      <c r="L28" s="70">
        <v>2.77</v>
      </c>
      <c r="M28" s="39">
        <v>0</v>
      </c>
      <c r="N28" s="25">
        <v>0</v>
      </c>
      <c r="T28" s="1"/>
      <c r="U28" s="1"/>
      <c r="V28" s="1"/>
      <c r="W28" s="67" t="s">
        <v>62</v>
      </c>
      <c r="X28" s="67">
        <f>COUNTIF(N10:N19,"&gt;=5")+COUNTIF(N21:N30,"&gt;=5")+COUNTIF(N32:N42,"&gt;=5")</f>
        <v>0</v>
      </c>
      <c r="Y28" s="1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</row>
    <row r="29" spans="1:73" ht="12.75">
      <c r="A29" s="29">
        <v>19</v>
      </c>
      <c r="B29" s="38">
        <v>21.9</v>
      </c>
      <c r="C29" s="39">
        <v>12.5</v>
      </c>
      <c r="D29" s="39">
        <f t="shared" si="3"/>
        <v>9.399999999999999</v>
      </c>
      <c r="E29" s="37">
        <v>16.7</v>
      </c>
      <c r="F29" s="38">
        <v>16</v>
      </c>
      <c r="G29" s="50">
        <v>1011.9</v>
      </c>
      <c r="H29" s="51">
        <v>1010</v>
      </c>
      <c r="I29" s="75">
        <v>1010.6</v>
      </c>
      <c r="J29" s="39">
        <v>3.6</v>
      </c>
      <c r="K29" s="39">
        <f t="shared" si="4"/>
        <v>82.79999999999998</v>
      </c>
      <c r="L29" s="70">
        <v>6.35</v>
      </c>
      <c r="M29" s="39">
        <v>0</v>
      </c>
      <c r="N29" s="25">
        <v>0</v>
      </c>
      <c r="T29" s="1"/>
      <c r="U29" s="1"/>
      <c r="V29" s="1"/>
      <c r="W29" s="63" t="s">
        <v>63</v>
      </c>
      <c r="X29" s="63">
        <f>COUNTIF(N10:N19,"&gt;=10")+COUNTIF(N21:N30,"&gt;=10")+COUNTIF(N32:N42,"&gt;=10")</f>
        <v>0</v>
      </c>
      <c r="Y29" s="1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</row>
    <row r="30" spans="1:73" ht="12.75">
      <c r="A30" s="29">
        <v>20</v>
      </c>
      <c r="B30" s="38">
        <v>17.8</v>
      </c>
      <c r="C30" s="39">
        <v>11.2</v>
      </c>
      <c r="D30" s="39">
        <f t="shared" si="3"/>
        <v>6.600000000000001</v>
      </c>
      <c r="E30" s="37">
        <v>15.6</v>
      </c>
      <c r="F30" s="38">
        <v>37</v>
      </c>
      <c r="G30" s="50">
        <v>1019</v>
      </c>
      <c r="H30" s="51">
        <v>1011.3</v>
      </c>
      <c r="I30" s="75">
        <v>1013.8</v>
      </c>
      <c r="J30" s="39">
        <v>2.8</v>
      </c>
      <c r="K30" s="39">
        <f t="shared" si="4"/>
        <v>85.59999999999998</v>
      </c>
      <c r="L30" s="70">
        <v>0.2</v>
      </c>
      <c r="M30" s="39">
        <v>0</v>
      </c>
      <c r="N30" s="25">
        <v>0</v>
      </c>
      <c r="T30" s="1"/>
      <c r="U30" s="1"/>
      <c r="V30" s="1"/>
      <c r="W30" s="20" t="s">
        <v>64</v>
      </c>
      <c r="X30" s="20">
        <f>COUNTIF(N10:N19,"&gt;=15")+COUNTIF(N21:N30,"&gt;=15")+COUNTIF(N32:N42,"&gt;=15")</f>
        <v>0</v>
      </c>
      <c r="Y30" s="1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</row>
    <row r="31" spans="1:73" ht="12.75">
      <c r="A31" s="35" t="s">
        <v>2</v>
      </c>
      <c r="B31" s="45">
        <f aca="true" t="shared" si="5" ref="B31:I31">AVERAGE(B21:B30)</f>
        <v>22</v>
      </c>
      <c r="C31" s="47">
        <f t="shared" si="5"/>
        <v>11.940000000000001</v>
      </c>
      <c r="D31" s="47">
        <f t="shared" si="5"/>
        <v>10.059999999999999</v>
      </c>
      <c r="E31" s="46">
        <f t="shared" si="5"/>
        <v>16.77</v>
      </c>
      <c r="F31" s="45">
        <f t="shared" si="5"/>
        <v>24.1</v>
      </c>
      <c r="G31" s="45">
        <f t="shared" si="5"/>
        <v>1018.6600000000001</v>
      </c>
      <c r="H31" s="47">
        <f t="shared" si="5"/>
        <v>1015.07</v>
      </c>
      <c r="I31" s="46">
        <f t="shared" si="5"/>
        <v>1016.64</v>
      </c>
      <c r="J31" s="47">
        <f>AVERAGE(J21:J30)</f>
        <v>3.04</v>
      </c>
      <c r="K31" s="47">
        <f>SUM(K30-K19)</f>
        <v>30.399999999999984</v>
      </c>
      <c r="L31" s="72">
        <f>AVERAGE(L21:L30)</f>
        <v>7.4159999999999995</v>
      </c>
      <c r="M31" s="47">
        <f>SUM(M21:M30)</f>
        <v>0</v>
      </c>
      <c r="N31" s="47">
        <f>AVERAGE(N21:N30)</f>
        <v>0</v>
      </c>
      <c r="T31" s="1"/>
      <c r="U31" s="1"/>
      <c r="V31" s="1"/>
      <c r="W31" s="64" t="s">
        <v>65</v>
      </c>
      <c r="X31" s="64">
        <f>COUNTIF(N10:N19,"&gt;=20")+COUNTIF(N21:N30,"&gt;=20")+COUNTIF(N32:N42,"&gt;=20")</f>
        <v>0</v>
      </c>
      <c r="Y31" s="1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</row>
    <row r="32" spans="1:73" ht="12.75">
      <c r="A32" s="29">
        <v>21</v>
      </c>
      <c r="B32" s="38">
        <v>17.2</v>
      </c>
      <c r="C32" s="39">
        <v>9.6</v>
      </c>
      <c r="D32" s="39">
        <f aca="true" t="shared" si="6" ref="D32:D40">SUM(B32-C32)</f>
        <v>7.6</v>
      </c>
      <c r="E32" s="37">
        <v>12.9</v>
      </c>
      <c r="F32" s="38">
        <v>34</v>
      </c>
      <c r="G32" s="50">
        <v>1025.6</v>
      </c>
      <c r="H32" s="51">
        <v>1018.8</v>
      </c>
      <c r="I32" s="75">
        <v>1021.2</v>
      </c>
      <c r="J32" s="39">
        <v>8.8</v>
      </c>
      <c r="K32" s="39">
        <f>K30+J32</f>
        <v>94.39999999999998</v>
      </c>
      <c r="L32" s="70">
        <v>4.22</v>
      </c>
      <c r="M32" s="39">
        <v>0</v>
      </c>
      <c r="N32" s="25">
        <v>0</v>
      </c>
      <c r="V32" s="1"/>
      <c r="W32" s="10" t="s">
        <v>66</v>
      </c>
      <c r="X32" s="10">
        <f>COUNTIF(N10:N19,"&gt;=30")+COUNTIF(N21:N30,"&gt;=30")+COUNTIF(N32:N42,"&gt;=30")</f>
        <v>0</v>
      </c>
      <c r="Y32" s="1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</row>
    <row r="33" spans="1:73" ht="12.75">
      <c r="A33" s="29">
        <v>22</v>
      </c>
      <c r="B33" s="38">
        <v>19</v>
      </c>
      <c r="C33" s="39">
        <v>7.8</v>
      </c>
      <c r="D33" s="39">
        <f t="shared" si="6"/>
        <v>11.2</v>
      </c>
      <c r="E33" s="37">
        <v>13.7</v>
      </c>
      <c r="F33" s="38">
        <v>24</v>
      </c>
      <c r="G33" s="50">
        <v>1027.9</v>
      </c>
      <c r="H33" s="51">
        <v>1025.5</v>
      </c>
      <c r="I33" s="75">
        <v>1026.8</v>
      </c>
      <c r="J33" s="39">
        <v>0</v>
      </c>
      <c r="K33" s="39">
        <f>K32+J33</f>
        <v>94.39999999999998</v>
      </c>
      <c r="L33" s="70">
        <v>11.17</v>
      </c>
      <c r="M33" s="39">
        <v>0</v>
      </c>
      <c r="N33" s="25">
        <v>0</v>
      </c>
      <c r="V33" s="1"/>
      <c r="W33" s="9" t="s">
        <v>67</v>
      </c>
      <c r="X33" s="9">
        <f>COUNTIF(N10:N19,"&gt;=40")+COUNTIF(N21:N30,"&gt;=40")+COUNTIF(N32:N42,"&gt;=40")</f>
        <v>0</v>
      </c>
      <c r="Y33" s="1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</row>
    <row r="34" spans="1:73" ht="12.75">
      <c r="A34" s="29">
        <v>23</v>
      </c>
      <c r="B34" s="38">
        <v>24.4</v>
      </c>
      <c r="C34" s="39">
        <v>11.4</v>
      </c>
      <c r="D34" s="39">
        <f t="shared" si="6"/>
        <v>12.999999999999998</v>
      </c>
      <c r="E34" s="37">
        <v>17.5</v>
      </c>
      <c r="F34" s="38">
        <v>21</v>
      </c>
      <c r="G34" s="50">
        <v>1026.6</v>
      </c>
      <c r="H34" s="51">
        <v>1021.5</v>
      </c>
      <c r="I34" s="75">
        <v>1024.2</v>
      </c>
      <c r="J34" s="39">
        <v>0</v>
      </c>
      <c r="K34" s="39">
        <f aca="true" t="shared" si="7" ref="K34:K42">K33+J34</f>
        <v>94.39999999999998</v>
      </c>
      <c r="L34" s="70">
        <v>11</v>
      </c>
      <c r="M34" s="39">
        <v>0</v>
      </c>
      <c r="N34" s="25">
        <v>0</v>
      </c>
      <c r="V34" s="1"/>
      <c r="W34" s="21" t="s">
        <v>68</v>
      </c>
      <c r="X34" s="21">
        <f>COUNTIF(N10:N19,"&gt;=50")+COUNTIF(N21:N30,"&gt;=50")+COUNTIF(N32:N42,"&gt;=50")</f>
        <v>0</v>
      </c>
      <c r="Y34" s="1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</row>
    <row r="35" spans="1:73" ht="12.75">
      <c r="A35" s="29">
        <v>24</v>
      </c>
      <c r="B35" s="38">
        <v>26.9</v>
      </c>
      <c r="C35" s="39">
        <v>13.4</v>
      </c>
      <c r="D35" s="39">
        <f t="shared" si="6"/>
        <v>13.499999999999998</v>
      </c>
      <c r="E35" s="37">
        <v>19.8</v>
      </c>
      <c r="F35" s="38">
        <v>18</v>
      </c>
      <c r="G35" s="50">
        <v>1021.6</v>
      </c>
      <c r="H35" s="51">
        <v>1016.8</v>
      </c>
      <c r="I35" s="75">
        <v>1019.5</v>
      </c>
      <c r="J35" s="39">
        <v>0</v>
      </c>
      <c r="K35" s="39">
        <f t="shared" si="7"/>
        <v>94.39999999999998</v>
      </c>
      <c r="L35" s="70">
        <v>10.75</v>
      </c>
      <c r="M35" s="39">
        <v>0</v>
      </c>
      <c r="N35" s="25">
        <v>0</v>
      </c>
      <c r="V35" s="1"/>
      <c r="W35" s="65" t="s">
        <v>69</v>
      </c>
      <c r="X35" s="65">
        <f>COUNTIF(N10:N19,"&gt;=75")+COUNTIF(N21:N30,"&gt;=75")+COUNTIF(N32:N42,"&gt;=75")</f>
        <v>0</v>
      </c>
      <c r="Y35" s="1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</row>
    <row r="36" spans="1:73" ht="12.75">
      <c r="A36" s="29">
        <v>25</v>
      </c>
      <c r="B36" s="38">
        <v>28</v>
      </c>
      <c r="C36" s="39">
        <v>16.4</v>
      </c>
      <c r="D36" s="39">
        <f t="shared" si="6"/>
        <v>11.600000000000001</v>
      </c>
      <c r="E36" s="37">
        <v>21.8</v>
      </c>
      <c r="F36" s="38">
        <v>16</v>
      </c>
      <c r="G36" s="50">
        <v>1016.9</v>
      </c>
      <c r="H36" s="51">
        <v>1014</v>
      </c>
      <c r="I36" s="75">
        <v>1015.7</v>
      </c>
      <c r="J36" s="39">
        <v>0</v>
      </c>
      <c r="K36" s="39">
        <f t="shared" si="7"/>
        <v>94.39999999999998</v>
      </c>
      <c r="L36" s="70">
        <v>10.77</v>
      </c>
      <c r="M36" s="39">
        <v>0</v>
      </c>
      <c r="N36" s="25">
        <v>0</v>
      </c>
      <c r="V36" s="1"/>
      <c r="W36" s="66" t="s">
        <v>70</v>
      </c>
      <c r="X36" s="66">
        <f>COUNTIF(N10:N19,"&gt;=100")+COUNTIF(N21:N30,"&gt;=100")+COUNTIF(N32:N42,"&gt;=100")</f>
        <v>0</v>
      </c>
      <c r="Y36" s="1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</row>
    <row r="37" spans="1:73" ht="12.75">
      <c r="A37" s="29">
        <v>26</v>
      </c>
      <c r="B37" s="38">
        <v>27.9</v>
      </c>
      <c r="C37" s="39">
        <v>18.1</v>
      </c>
      <c r="D37" s="39">
        <f t="shared" si="6"/>
        <v>9.799999999999997</v>
      </c>
      <c r="E37" s="37">
        <v>22.8</v>
      </c>
      <c r="F37" s="38">
        <v>24</v>
      </c>
      <c r="G37" s="50">
        <v>1016.4</v>
      </c>
      <c r="H37" s="51">
        <v>1014.6</v>
      </c>
      <c r="I37" s="75">
        <v>1015.4</v>
      </c>
      <c r="J37" s="39">
        <v>0</v>
      </c>
      <c r="K37" s="39">
        <f t="shared" si="7"/>
        <v>94.39999999999998</v>
      </c>
      <c r="L37" s="70">
        <v>10.62</v>
      </c>
      <c r="M37" s="39">
        <v>0</v>
      </c>
      <c r="N37" s="25">
        <v>0</v>
      </c>
      <c r="V37" s="1"/>
      <c r="W37" s="1"/>
      <c r="X37" s="1"/>
      <c r="Y37" s="1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</row>
    <row r="38" spans="1:73" ht="12.75">
      <c r="A38" s="29">
        <v>27</v>
      </c>
      <c r="B38" s="38">
        <v>27.4</v>
      </c>
      <c r="C38" s="39">
        <v>17.3</v>
      </c>
      <c r="D38" s="39">
        <f t="shared" si="6"/>
        <v>10.099999999999998</v>
      </c>
      <c r="E38" s="37">
        <v>22.1</v>
      </c>
      <c r="F38" s="38">
        <v>19</v>
      </c>
      <c r="G38" s="50">
        <v>1016.8</v>
      </c>
      <c r="H38" s="51">
        <v>1014.2</v>
      </c>
      <c r="I38" s="75">
        <v>1015.5</v>
      </c>
      <c r="J38" s="39">
        <v>0</v>
      </c>
      <c r="K38" s="39">
        <f t="shared" si="7"/>
        <v>94.39999999999998</v>
      </c>
      <c r="L38" s="70">
        <v>9.02</v>
      </c>
      <c r="M38" s="39">
        <v>0</v>
      </c>
      <c r="N38" s="25">
        <v>0</v>
      </c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</row>
    <row r="39" spans="1:73" ht="12.75">
      <c r="A39" s="29">
        <v>28</v>
      </c>
      <c r="B39" s="38">
        <v>27.2</v>
      </c>
      <c r="C39" s="39">
        <v>17</v>
      </c>
      <c r="D39" s="39">
        <f t="shared" si="6"/>
        <v>10.2</v>
      </c>
      <c r="E39" s="37">
        <v>21.3</v>
      </c>
      <c r="F39" s="38">
        <v>23</v>
      </c>
      <c r="G39" s="50">
        <v>1016.4</v>
      </c>
      <c r="H39" s="51">
        <v>1013.6</v>
      </c>
      <c r="I39" s="75">
        <v>1015.1</v>
      </c>
      <c r="J39" s="39">
        <v>0</v>
      </c>
      <c r="K39" s="39">
        <f t="shared" si="7"/>
        <v>94.39999999999998</v>
      </c>
      <c r="L39" s="70">
        <v>7.9</v>
      </c>
      <c r="M39" s="39">
        <v>0</v>
      </c>
      <c r="N39" s="25">
        <v>0</v>
      </c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</row>
    <row r="40" spans="1:73" ht="12.75">
      <c r="A40" s="29">
        <v>29</v>
      </c>
      <c r="B40" s="38">
        <v>20.2</v>
      </c>
      <c r="C40" s="39">
        <v>15.2</v>
      </c>
      <c r="D40" s="39">
        <f t="shared" si="6"/>
        <v>5</v>
      </c>
      <c r="E40" s="37">
        <v>17.2</v>
      </c>
      <c r="F40" s="38">
        <v>21</v>
      </c>
      <c r="G40" s="50">
        <v>1020</v>
      </c>
      <c r="H40" s="51">
        <v>1015.2</v>
      </c>
      <c r="I40" s="75">
        <v>1017</v>
      </c>
      <c r="J40" s="39">
        <v>0.6</v>
      </c>
      <c r="K40" s="39">
        <f t="shared" si="7"/>
        <v>94.99999999999997</v>
      </c>
      <c r="L40" s="70">
        <v>0</v>
      </c>
      <c r="M40" s="39">
        <v>0</v>
      </c>
      <c r="N40" s="25">
        <v>0</v>
      </c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</row>
    <row r="41" spans="1:73" ht="12.75">
      <c r="A41" s="29">
        <v>30</v>
      </c>
      <c r="B41" s="38">
        <v>20.7</v>
      </c>
      <c r="C41" s="39">
        <v>13.8</v>
      </c>
      <c r="D41" s="39">
        <f>SUM(B41-C41)</f>
        <v>6.899999999999999</v>
      </c>
      <c r="E41" s="37">
        <v>16.5</v>
      </c>
      <c r="F41" s="38">
        <v>32</v>
      </c>
      <c r="G41" s="50">
        <v>1020.1</v>
      </c>
      <c r="H41" s="51">
        <v>1017.8</v>
      </c>
      <c r="I41" s="75">
        <v>1018.8</v>
      </c>
      <c r="J41" s="39">
        <v>0</v>
      </c>
      <c r="K41" s="39">
        <f t="shared" si="7"/>
        <v>94.99999999999997</v>
      </c>
      <c r="L41" s="70">
        <v>6.6</v>
      </c>
      <c r="M41" s="39">
        <v>0</v>
      </c>
      <c r="N41" s="25">
        <v>0</v>
      </c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</row>
    <row r="42" spans="1:73" ht="12.75">
      <c r="A42" s="41">
        <v>31</v>
      </c>
      <c r="B42" s="40">
        <v>23.7</v>
      </c>
      <c r="C42" s="55">
        <v>12.9</v>
      </c>
      <c r="D42" s="55">
        <f>SUM(B42-C42)</f>
        <v>10.799999999999999</v>
      </c>
      <c r="E42" s="55">
        <v>17.6</v>
      </c>
      <c r="F42" s="40">
        <v>26</v>
      </c>
      <c r="G42" s="52">
        <v>1020.5</v>
      </c>
      <c r="H42" s="56">
        <v>1017.3</v>
      </c>
      <c r="I42" s="76">
        <v>1018.7</v>
      </c>
      <c r="J42" s="55">
        <v>18.6</v>
      </c>
      <c r="K42" s="39">
        <f t="shared" si="7"/>
        <v>113.59999999999997</v>
      </c>
      <c r="L42" s="82">
        <v>9.07</v>
      </c>
      <c r="M42" s="55">
        <v>0</v>
      </c>
      <c r="N42" s="55">
        <v>0</v>
      </c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</row>
    <row r="43" spans="1:73" ht="12.75">
      <c r="A43" s="35" t="s">
        <v>3</v>
      </c>
      <c r="B43" s="45">
        <f aca="true" t="shared" si="8" ref="B43:I43">AVERAGE(B32:B42)</f>
        <v>23.87272727272727</v>
      </c>
      <c r="C43" s="47">
        <f t="shared" si="8"/>
        <v>13.9</v>
      </c>
      <c r="D43" s="47">
        <f t="shared" si="8"/>
        <v>9.97272727272727</v>
      </c>
      <c r="E43" s="47">
        <f t="shared" si="8"/>
        <v>18.472727272727273</v>
      </c>
      <c r="F43" s="45">
        <f t="shared" si="8"/>
        <v>23.454545454545453</v>
      </c>
      <c r="G43" s="45">
        <f t="shared" si="8"/>
        <v>1020.8</v>
      </c>
      <c r="H43" s="47">
        <f t="shared" si="8"/>
        <v>1017.2090909090908</v>
      </c>
      <c r="I43" s="46">
        <f t="shared" si="8"/>
        <v>1018.9</v>
      </c>
      <c r="J43" s="47">
        <f>AVERAGE(J32:J42)</f>
        <v>2.5454545454545454</v>
      </c>
      <c r="K43" s="47">
        <f>SUM(K42-K30)</f>
        <v>27.999999999999986</v>
      </c>
      <c r="L43" s="72">
        <f>AVERAGE(L32:L42)</f>
        <v>8.283636363636363</v>
      </c>
      <c r="M43" s="60">
        <f>SUM(M32:M42)</f>
        <v>0</v>
      </c>
      <c r="N43" s="60">
        <f>AVERAGE(N32:N42)</f>
        <v>0</v>
      </c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</row>
    <row r="44" spans="1:73" ht="12.75">
      <c r="A44" s="54" t="s">
        <v>4</v>
      </c>
      <c r="B44" s="48">
        <f aca="true" t="shared" si="9" ref="B44:I44">AVERAGE(B10:B19,B21:B30,B32:B42)</f>
        <v>22.106451612903232</v>
      </c>
      <c r="C44" s="49">
        <f t="shared" si="9"/>
        <v>12.309677419354836</v>
      </c>
      <c r="D44" s="49">
        <f t="shared" si="9"/>
        <v>9.796774193548387</v>
      </c>
      <c r="E44" s="49">
        <f t="shared" si="9"/>
        <v>16.945161290322584</v>
      </c>
      <c r="F44" s="48">
        <f t="shared" si="9"/>
        <v>24.35483870967742</v>
      </c>
      <c r="G44" s="48">
        <f t="shared" si="9"/>
        <v>1020.267741935484</v>
      </c>
      <c r="H44" s="49">
        <f t="shared" si="9"/>
        <v>1016.3387096774193</v>
      </c>
      <c r="I44" s="77">
        <f t="shared" si="9"/>
        <v>1018.1741935483869</v>
      </c>
      <c r="J44" s="49">
        <f>AVERAGE(J10:J19,J21:J30,J32:J42)</f>
        <v>3.6645161290322568</v>
      </c>
      <c r="K44" s="57">
        <f>MAX(K10:K19,K21:K30,K32:K42)</f>
        <v>113.59999999999997</v>
      </c>
      <c r="L44" s="83">
        <f>AVERAGE(L10:L19,L21:L30,L32:L42)</f>
        <v>7.285806451612903</v>
      </c>
      <c r="M44" s="49">
        <f>SUM(M10:M19,M21:M30,M32:M42)</f>
        <v>0</v>
      </c>
      <c r="N44" s="49">
        <f>AVERAGE(N10:N19,N21:N30,N32:N42)</f>
        <v>0</v>
      </c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</row>
  </sheetData>
  <sheetProtection/>
  <protectedRanges>
    <protectedRange sqref="B21:C30 B32:C42 T20:U20 U17:U18 Y8:Y9 Y12:Y13 O1 Z1 AP1 BF1 A3 B10:C19 U7:U9 E10:N19 E21:N30 E32:N42" name="Bereich1"/>
  </protectedRanges>
  <mergeCells count="11">
    <mergeCell ref="O1:Y1"/>
    <mergeCell ref="AP1:BE1"/>
    <mergeCell ref="J6:K6"/>
    <mergeCell ref="A1:N1"/>
    <mergeCell ref="A3:N3"/>
    <mergeCell ref="M6:N6"/>
    <mergeCell ref="B7:B9"/>
    <mergeCell ref="C7:C9"/>
    <mergeCell ref="B6:E6"/>
    <mergeCell ref="G6:I6"/>
    <mergeCell ref="Z1:AO1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74" r:id="rId2"/>
  <colBreaks count="4" manualBreakCount="4">
    <brk id="14" max="43" man="1"/>
    <brk id="25" max="43" man="1"/>
    <brk id="41" max="43" man="1"/>
    <brk id="5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Silas</cp:lastModifiedBy>
  <cp:lastPrinted>2008-04-03T17:01:38Z</cp:lastPrinted>
  <dcterms:created xsi:type="dcterms:W3CDTF">2008-04-02T16:08:55Z</dcterms:created>
  <dcterms:modified xsi:type="dcterms:W3CDTF">2016-09-06T19:13:03Z</dcterms:modified>
  <cp:category/>
  <cp:version/>
  <cp:contentType/>
  <cp:contentStatus/>
</cp:coreProperties>
</file>