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0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1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2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3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14.xml" ContentType="application/vnd.openxmlformats-officedocument.drawing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Wetter\Wettereintrageprogramme Oberthal\"/>
    </mc:Choice>
  </mc:AlternateContent>
  <xr:revisionPtr revIDLastSave="0" documentId="13_ncr:1_{C15A318D-C2CF-47E6-BA55-636567BED3A8}" xr6:coauthVersionLast="47" xr6:coauthVersionMax="47" xr10:uidLastSave="{00000000-0000-0000-0000-000000000000}"/>
  <bookViews>
    <workbookView xWindow="-93" yWindow="-93" windowWidth="25786" windowHeight="14133" tabRatio="796" activeTab="12" xr2:uid="{00000000-000D-0000-FFFF-FFFF00000000}"/>
  </bookViews>
  <sheets>
    <sheet name="Jan" sheetId="23" r:id="rId1"/>
    <sheet name="Feb" sheetId="31" r:id="rId2"/>
    <sheet name="Mrz" sheetId="29" r:id="rId3"/>
    <sheet name="Apr" sheetId="32" r:id="rId4"/>
    <sheet name="Mai" sheetId="28" r:id="rId5"/>
    <sheet name="Jun" sheetId="33" r:id="rId6"/>
    <sheet name="Jul" sheetId="27" r:id="rId7"/>
    <sheet name="Aug" sheetId="25" r:id="rId8"/>
    <sheet name="Sep" sheetId="34" r:id="rId9"/>
    <sheet name="Okt" sheetId="26" r:id="rId10"/>
    <sheet name="Nov" sheetId="35" r:id="rId11"/>
    <sheet name="Dez" sheetId="24" r:id="rId12"/>
    <sheet name="Überblick" sheetId="1" r:id="rId13"/>
    <sheet name="Abweichungen" sheetId="36" r:id="rId14"/>
    <sheet name="Erklärung" sheetId="15" r:id="rId15"/>
  </sheets>
  <definedNames>
    <definedName name="_xlnm.Print_Area" localSheetId="3">Apr!$A$1:$BA$43</definedName>
    <definedName name="_xlnm.Print_Area" localSheetId="7">Aug!$A$1:$BA$44</definedName>
    <definedName name="_xlnm.Print_Area" localSheetId="11">Dez!$A$1:$BA$44</definedName>
    <definedName name="_xlnm.Print_Area" localSheetId="1">Feb!$A$1:$BA$42</definedName>
    <definedName name="_xlnm.Print_Area" localSheetId="0">Jan!$A$1:$BA$44</definedName>
    <definedName name="_xlnm.Print_Area" localSheetId="6">Jul!$A$1:$BA$44</definedName>
    <definedName name="_xlnm.Print_Area" localSheetId="5">Jun!$A$1:$BA$43</definedName>
    <definedName name="_xlnm.Print_Area" localSheetId="4">Mai!$A$1:$BA$44</definedName>
    <definedName name="_xlnm.Print_Area" localSheetId="2">Mrz!$A$1:$BA$44</definedName>
    <definedName name="_xlnm.Print_Area" localSheetId="10">Nov!$A$1:$BA$43</definedName>
    <definedName name="_xlnm.Print_Area" localSheetId="9">Okt!$A$1:$BA$44</definedName>
    <definedName name="_xlnm.Print_Area" localSheetId="8">Sep!$A$1:$BA$43</definedName>
    <definedName name="_xlnm.Print_Area" localSheetId="12">Überblick!$A$1:$Q$81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6" l="1"/>
  <c r="D32" i="35"/>
  <c r="B31" i="35"/>
  <c r="D17" i="26"/>
  <c r="D24" i="27"/>
  <c r="H15" i="27"/>
  <c r="N7" i="28"/>
  <c r="P7" i="23"/>
  <c r="G20" i="32"/>
  <c r="D29" i="31"/>
  <c r="D30" i="31"/>
  <c r="D32" i="31"/>
  <c r="C28" i="1"/>
  <c r="D28" i="1"/>
  <c r="E28" i="1"/>
  <c r="F28" i="1"/>
  <c r="G28" i="1"/>
  <c r="H28" i="1"/>
  <c r="I28" i="1"/>
  <c r="J28" i="1"/>
  <c r="K28" i="1"/>
  <c r="L28" i="1"/>
  <c r="M28" i="1"/>
  <c r="N28" i="1"/>
  <c r="O14" i="36" l="1"/>
  <c r="O12" i="36"/>
  <c r="O8" i="36"/>
  <c r="O7" i="36"/>
  <c r="O6" i="36"/>
  <c r="N14" i="36"/>
  <c r="M14" i="36"/>
  <c r="L14" i="36"/>
  <c r="K14" i="36"/>
  <c r="J14" i="36"/>
  <c r="I14" i="36"/>
  <c r="H14" i="36"/>
  <c r="G14" i="36"/>
  <c r="F7" i="36"/>
  <c r="G7" i="36"/>
  <c r="H7" i="36"/>
  <c r="I7" i="36"/>
  <c r="J7" i="36"/>
  <c r="K7" i="36"/>
  <c r="L7" i="36"/>
  <c r="M7" i="36"/>
  <c r="N7" i="36"/>
  <c r="F8" i="36"/>
  <c r="G8" i="36"/>
  <c r="H8" i="36"/>
  <c r="I8" i="36"/>
  <c r="J8" i="36"/>
  <c r="K8" i="36"/>
  <c r="L8" i="36"/>
  <c r="M8" i="36"/>
  <c r="N8" i="36"/>
  <c r="N12" i="36"/>
  <c r="M12" i="36"/>
  <c r="L12" i="36"/>
  <c r="K12" i="36"/>
  <c r="J12" i="36"/>
  <c r="I12" i="36"/>
  <c r="H12" i="36"/>
  <c r="G12" i="36"/>
  <c r="N6" i="36"/>
  <c r="M6" i="36"/>
  <c r="L6" i="36"/>
  <c r="K6" i="36"/>
  <c r="J6" i="36"/>
  <c r="I6" i="36"/>
  <c r="H6" i="36"/>
  <c r="G6" i="36"/>
  <c r="F14" i="36"/>
  <c r="F12" i="36"/>
  <c r="F6" i="36"/>
  <c r="E14" i="36"/>
  <c r="E12" i="36"/>
  <c r="E8" i="36"/>
  <c r="E7" i="36"/>
  <c r="E6" i="36"/>
  <c r="D14" i="36"/>
  <c r="D12" i="36"/>
  <c r="D8" i="36"/>
  <c r="D7" i="36"/>
  <c r="C14" i="36"/>
  <c r="C12" i="36"/>
  <c r="D6" i="36"/>
  <c r="C7" i="36"/>
  <c r="C8" i="36"/>
  <c r="C6" i="36"/>
  <c r="N7" i="31"/>
  <c r="D9" i="1" s="1"/>
  <c r="N8" i="31"/>
  <c r="D10" i="1" s="1"/>
  <c r="N9" i="31"/>
  <c r="D11" i="1" s="1"/>
  <c r="N11" i="31"/>
  <c r="N13" i="31"/>
  <c r="N16" i="31"/>
  <c r="N18" i="31"/>
  <c r="N19" i="31"/>
  <c r="D36" i="1" s="1"/>
  <c r="U20" i="35"/>
  <c r="M60" i="1" s="1"/>
  <c r="U19" i="35"/>
  <c r="M59" i="1" s="1"/>
  <c r="U18" i="35"/>
  <c r="M58" i="1" s="1"/>
  <c r="U17" i="35"/>
  <c r="M57" i="1" s="1"/>
  <c r="U20" i="34"/>
  <c r="K60" i="1" s="1"/>
  <c r="U19" i="34"/>
  <c r="K59" i="1" s="1"/>
  <c r="U18" i="34"/>
  <c r="K58" i="1" s="1"/>
  <c r="U17" i="34"/>
  <c r="K57" i="1" s="1"/>
  <c r="U20" i="33"/>
  <c r="H60" i="1" s="1"/>
  <c r="U19" i="33"/>
  <c r="H59" i="1" s="1"/>
  <c r="U18" i="33"/>
  <c r="H58" i="1" s="1"/>
  <c r="U17" i="33"/>
  <c r="H57" i="1" s="1"/>
  <c r="U20" i="32"/>
  <c r="F60" i="1" s="1"/>
  <c r="U18" i="32"/>
  <c r="F58" i="1" s="1"/>
  <c r="U19" i="32"/>
  <c r="F59" i="1" s="1"/>
  <c r="U17" i="32"/>
  <c r="F57" i="1" s="1"/>
  <c r="U20" i="31"/>
  <c r="D60" i="1" s="1"/>
  <c r="U19" i="31"/>
  <c r="D59" i="1" s="1"/>
  <c r="U18" i="31"/>
  <c r="D58" i="1" s="1"/>
  <c r="U17" i="31"/>
  <c r="D57" i="1" s="1"/>
  <c r="U20" i="24"/>
  <c r="N60" i="1" s="1"/>
  <c r="U19" i="24"/>
  <c r="N59" i="1" s="1"/>
  <c r="U18" i="24"/>
  <c r="N58" i="1" s="1"/>
  <c r="U17" i="24"/>
  <c r="N57" i="1" s="1"/>
  <c r="U20" i="26"/>
  <c r="L60" i="1" s="1"/>
  <c r="U19" i="26"/>
  <c r="L59" i="1" s="1"/>
  <c r="U18" i="26"/>
  <c r="L58" i="1" s="1"/>
  <c r="U17" i="26"/>
  <c r="L57" i="1" s="1"/>
  <c r="U20" i="25"/>
  <c r="J60" i="1" s="1"/>
  <c r="U19" i="25"/>
  <c r="J59" i="1" s="1"/>
  <c r="U18" i="25"/>
  <c r="J58" i="1" s="1"/>
  <c r="U17" i="25"/>
  <c r="J57" i="1" s="1"/>
  <c r="U20" i="27"/>
  <c r="I60" i="1" s="1"/>
  <c r="U19" i="27"/>
  <c r="I59" i="1" s="1"/>
  <c r="U18" i="27"/>
  <c r="I58" i="1" s="1"/>
  <c r="U17" i="27"/>
  <c r="I57" i="1" s="1"/>
  <c r="U20" i="28"/>
  <c r="G60" i="1" s="1"/>
  <c r="U19" i="28"/>
  <c r="G59" i="1" s="1"/>
  <c r="U18" i="28"/>
  <c r="G58" i="1" s="1"/>
  <c r="U17" i="28"/>
  <c r="G57" i="1" s="1"/>
  <c r="U20" i="29"/>
  <c r="E60" i="1" s="1"/>
  <c r="U19" i="29"/>
  <c r="E59" i="1" s="1"/>
  <c r="U18" i="29"/>
  <c r="E58" i="1" s="1"/>
  <c r="U17" i="29"/>
  <c r="E57" i="1" s="1"/>
  <c r="U20" i="23"/>
  <c r="C60" i="1" s="1"/>
  <c r="U19" i="23"/>
  <c r="C59" i="1" s="1"/>
  <c r="U18" i="23"/>
  <c r="C58" i="1" s="1"/>
  <c r="U17" i="23"/>
  <c r="C57" i="1" s="1"/>
  <c r="K43" i="35" l="1"/>
  <c r="J43" i="35"/>
  <c r="I43" i="35"/>
  <c r="G43" i="35"/>
  <c r="F43" i="35"/>
  <c r="E43" i="35"/>
  <c r="C43" i="35"/>
  <c r="B43" i="35"/>
  <c r="K42" i="35"/>
  <c r="J42" i="35"/>
  <c r="I42" i="35"/>
  <c r="G42" i="35"/>
  <c r="F42" i="35"/>
  <c r="E42" i="35"/>
  <c r="C42" i="35"/>
  <c r="B42" i="35"/>
  <c r="D41" i="35"/>
  <c r="D40" i="35"/>
  <c r="D39" i="35"/>
  <c r="D38" i="35"/>
  <c r="D37" i="35"/>
  <c r="U42" i="35"/>
  <c r="M72" i="1" s="1"/>
  <c r="D36" i="35"/>
  <c r="U41" i="35"/>
  <c r="M71" i="1" s="1"/>
  <c r="D35" i="35"/>
  <c r="U40" i="35"/>
  <c r="M70" i="1" s="1"/>
  <c r="D34" i="35"/>
  <c r="U39" i="35"/>
  <c r="M69" i="1" s="1"/>
  <c r="D33" i="35"/>
  <c r="U38" i="35"/>
  <c r="M68" i="1" s="1"/>
  <c r="U37" i="35"/>
  <c r="M67" i="1" s="1"/>
  <c r="K31" i="35"/>
  <c r="J31" i="35"/>
  <c r="I31" i="35"/>
  <c r="G31" i="35"/>
  <c r="F31" i="35"/>
  <c r="E31" i="35"/>
  <c r="C31" i="35"/>
  <c r="U36" i="35"/>
  <c r="M66" i="1" s="1"/>
  <c r="D30" i="35"/>
  <c r="U35" i="35"/>
  <c r="M65" i="1" s="1"/>
  <c r="D29" i="35"/>
  <c r="U34" i="35"/>
  <c r="M64" i="1" s="1"/>
  <c r="D28" i="35"/>
  <c r="U33" i="35"/>
  <c r="M63" i="1" s="1"/>
  <c r="D27" i="35"/>
  <c r="U32" i="35"/>
  <c r="M62" i="1" s="1"/>
  <c r="D26" i="35"/>
  <c r="D25" i="35"/>
  <c r="D24" i="35"/>
  <c r="U29" i="35"/>
  <c r="M55" i="1" s="1"/>
  <c r="D23" i="35"/>
  <c r="U28" i="35"/>
  <c r="M54" i="1" s="1"/>
  <c r="D22" i="35"/>
  <c r="U27" i="35"/>
  <c r="M53" i="1" s="1"/>
  <c r="D21" i="35"/>
  <c r="U26" i="35"/>
  <c r="M52" i="1" s="1"/>
  <c r="K20" i="35"/>
  <c r="J20" i="35"/>
  <c r="I20" i="35"/>
  <c r="G20" i="35"/>
  <c r="F20" i="35"/>
  <c r="E20" i="35"/>
  <c r="C20" i="35"/>
  <c r="B20" i="35"/>
  <c r="U25" i="35"/>
  <c r="M51" i="1" s="1"/>
  <c r="P19" i="35"/>
  <c r="O19" i="35"/>
  <c r="M37" i="1" s="1"/>
  <c r="N19" i="35"/>
  <c r="M36" i="1" s="1"/>
  <c r="D19" i="35"/>
  <c r="U24" i="35"/>
  <c r="M50" i="1" s="1"/>
  <c r="Q18" i="35"/>
  <c r="M38" i="1" s="1"/>
  <c r="P18" i="35"/>
  <c r="O18" i="35"/>
  <c r="N18" i="35"/>
  <c r="D18" i="35"/>
  <c r="U23" i="35"/>
  <c r="M49" i="1" s="1"/>
  <c r="D17" i="35"/>
  <c r="P16" i="35"/>
  <c r="O16" i="35"/>
  <c r="M27" i="1" s="1"/>
  <c r="N16" i="35"/>
  <c r="D16" i="35"/>
  <c r="D15" i="35"/>
  <c r="U14" i="35"/>
  <c r="M47" i="1" s="1"/>
  <c r="D14" i="35"/>
  <c r="U13" i="35"/>
  <c r="M46" i="1" s="1"/>
  <c r="P13" i="35"/>
  <c r="O13" i="35"/>
  <c r="M24" i="1" s="1"/>
  <c r="N13" i="35"/>
  <c r="D13" i="35"/>
  <c r="U12" i="35"/>
  <c r="M45" i="1" s="1"/>
  <c r="D12" i="35"/>
  <c r="U11" i="35"/>
  <c r="M44" i="1" s="1"/>
  <c r="P11" i="35"/>
  <c r="M18" i="1" s="1"/>
  <c r="O11" i="35"/>
  <c r="M17" i="1" s="1"/>
  <c r="N11" i="35"/>
  <c r="D11" i="35"/>
  <c r="U10" i="35"/>
  <c r="M43" i="1" s="1"/>
  <c r="H10" i="35"/>
  <c r="D10" i="35"/>
  <c r="U9" i="35"/>
  <c r="M42" i="1" s="1"/>
  <c r="P9" i="35"/>
  <c r="O9" i="35"/>
  <c r="N9" i="35"/>
  <c r="M11" i="1" s="1"/>
  <c r="U8" i="35"/>
  <c r="M41" i="1" s="1"/>
  <c r="P8" i="35"/>
  <c r="M7" i="1" s="1"/>
  <c r="O8" i="35"/>
  <c r="N8" i="35"/>
  <c r="M10" i="1" s="1"/>
  <c r="U7" i="35"/>
  <c r="M40" i="1" s="1"/>
  <c r="P7" i="35"/>
  <c r="O7" i="35"/>
  <c r="M6" i="1" s="1"/>
  <c r="N7" i="35"/>
  <c r="M9" i="1" s="1"/>
  <c r="K43" i="34"/>
  <c r="J43" i="34"/>
  <c r="I43" i="34"/>
  <c r="G43" i="34"/>
  <c r="F43" i="34"/>
  <c r="E43" i="34"/>
  <c r="C43" i="34"/>
  <c r="B43" i="34"/>
  <c r="K42" i="34"/>
  <c r="J42" i="34"/>
  <c r="I42" i="34"/>
  <c r="G42" i="34"/>
  <c r="F42" i="34"/>
  <c r="E42" i="34"/>
  <c r="C42" i="34"/>
  <c r="B42" i="34"/>
  <c r="D41" i="34"/>
  <c r="D40" i="34"/>
  <c r="D39" i="34"/>
  <c r="D38" i="34"/>
  <c r="D37" i="34"/>
  <c r="U42" i="34"/>
  <c r="K72" i="1" s="1"/>
  <c r="D36" i="34"/>
  <c r="U41" i="34"/>
  <c r="K71" i="1" s="1"/>
  <c r="D35" i="34"/>
  <c r="U40" i="34"/>
  <c r="K70" i="1" s="1"/>
  <c r="D34" i="34"/>
  <c r="U39" i="34"/>
  <c r="K69" i="1" s="1"/>
  <c r="D33" i="34"/>
  <c r="U38" i="34"/>
  <c r="K68" i="1" s="1"/>
  <c r="D32" i="34"/>
  <c r="U37" i="34"/>
  <c r="K67" i="1" s="1"/>
  <c r="K31" i="34"/>
  <c r="J31" i="34"/>
  <c r="I31" i="34"/>
  <c r="G31" i="34"/>
  <c r="F31" i="34"/>
  <c r="E31" i="34"/>
  <c r="C31" i="34"/>
  <c r="B31" i="34"/>
  <c r="U36" i="34"/>
  <c r="K66" i="1" s="1"/>
  <c r="D30" i="34"/>
  <c r="U35" i="34"/>
  <c r="K65" i="1" s="1"/>
  <c r="D29" i="34"/>
  <c r="U34" i="34"/>
  <c r="K64" i="1" s="1"/>
  <c r="D28" i="34"/>
  <c r="U33" i="34"/>
  <c r="K63" i="1" s="1"/>
  <c r="D27" i="34"/>
  <c r="U32" i="34"/>
  <c r="K62" i="1" s="1"/>
  <c r="D26" i="34"/>
  <c r="D25" i="34"/>
  <c r="D24" i="34"/>
  <c r="U29" i="34"/>
  <c r="K55" i="1" s="1"/>
  <c r="D23" i="34"/>
  <c r="U28" i="34"/>
  <c r="K54" i="1" s="1"/>
  <c r="D22" i="34"/>
  <c r="U27" i="34"/>
  <c r="K53" i="1" s="1"/>
  <c r="D21" i="34"/>
  <c r="U26" i="34"/>
  <c r="K52" i="1" s="1"/>
  <c r="K20" i="34"/>
  <c r="J20" i="34"/>
  <c r="I20" i="34"/>
  <c r="G20" i="34"/>
  <c r="F20" i="34"/>
  <c r="E20" i="34"/>
  <c r="C20" i="34"/>
  <c r="B20" i="34"/>
  <c r="U25" i="34"/>
  <c r="K51" i="1" s="1"/>
  <c r="P19" i="34"/>
  <c r="O19" i="34"/>
  <c r="K37" i="1" s="1"/>
  <c r="N19" i="34"/>
  <c r="K36" i="1" s="1"/>
  <c r="D19" i="34"/>
  <c r="U24" i="34"/>
  <c r="K50" i="1" s="1"/>
  <c r="Q18" i="34"/>
  <c r="K38" i="1" s="1"/>
  <c r="P18" i="34"/>
  <c r="O18" i="34"/>
  <c r="N18" i="34"/>
  <c r="D18" i="34"/>
  <c r="U23" i="34"/>
  <c r="K49" i="1" s="1"/>
  <c r="D17" i="34"/>
  <c r="P16" i="34"/>
  <c r="O16" i="34"/>
  <c r="K27" i="1" s="1"/>
  <c r="N16" i="34"/>
  <c r="D16" i="34"/>
  <c r="D15" i="34"/>
  <c r="U14" i="34"/>
  <c r="K47" i="1" s="1"/>
  <c r="D14" i="34"/>
  <c r="U13" i="34"/>
  <c r="K46" i="1" s="1"/>
  <c r="P13" i="34"/>
  <c r="O13" i="34"/>
  <c r="K24" i="1" s="1"/>
  <c r="N13" i="34"/>
  <c r="D13" i="34"/>
  <c r="U12" i="34"/>
  <c r="K45" i="1" s="1"/>
  <c r="D12" i="34"/>
  <c r="U11" i="34"/>
  <c r="K44" i="1" s="1"/>
  <c r="P11" i="34"/>
  <c r="K18" i="1" s="1"/>
  <c r="O11" i="34"/>
  <c r="K17" i="1" s="1"/>
  <c r="N11" i="34"/>
  <c r="D11" i="34"/>
  <c r="U10" i="34"/>
  <c r="K43" i="1" s="1"/>
  <c r="H10" i="34"/>
  <c r="D10" i="34"/>
  <c r="U9" i="34"/>
  <c r="K42" i="1" s="1"/>
  <c r="P9" i="34"/>
  <c r="O9" i="34"/>
  <c r="N9" i="34"/>
  <c r="K11" i="1" s="1"/>
  <c r="U8" i="34"/>
  <c r="K41" i="1" s="1"/>
  <c r="P8" i="34"/>
  <c r="K7" i="1" s="1"/>
  <c r="O8" i="34"/>
  <c r="N8" i="34"/>
  <c r="K10" i="1" s="1"/>
  <c r="U7" i="34"/>
  <c r="K40" i="1" s="1"/>
  <c r="P7" i="34"/>
  <c r="O7" i="34"/>
  <c r="K6" i="1" s="1"/>
  <c r="N7" i="34"/>
  <c r="K9" i="1" s="1"/>
  <c r="K43" i="33"/>
  <c r="J43" i="33"/>
  <c r="I43" i="33"/>
  <c r="G43" i="33"/>
  <c r="F43" i="33"/>
  <c r="E43" i="33"/>
  <c r="C43" i="33"/>
  <c r="B43" i="33"/>
  <c r="K42" i="33"/>
  <c r="J42" i="33"/>
  <c r="I42" i="33"/>
  <c r="G42" i="33"/>
  <c r="F42" i="33"/>
  <c r="E42" i="33"/>
  <c r="C42" i="33"/>
  <c r="B42" i="33"/>
  <c r="D41" i="33"/>
  <c r="D40" i="33"/>
  <c r="D39" i="33"/>
  <c r="D38" i="33"/>
  <c r="D37" i="33"/>
  <c r="U42" i="33"/>
  <c r="H72" i="1" s="1"/>
  <c r="D36" i="33"/>
  <c r="U41" i="33"/>
  <c r="H71" i="1" s="1"/>
  <c r="D35" i="33"/>
  <c r="U40" i="33"/>
  <c r="H70" i="1" s="1"/>
  <c r="D34" i="33"/>
  <c r="U39" i="33"/>
  <c r="H69" i="1" s="1"/>
  <c r="D33" i="33"/>
  <c r="U38" i="33"/>
  <c r="H68" i="1" s="1"/>
  <c r="D32" i="33"/>
  <c r="U37" i="33"/>
  <c r="H67" i="1" s="1"/>
  <c r="K31" i="33"/>
  <c r="J31" i="33"/>
  <c r="I31" i="33"/>
  <c r="G31" i="33"/>
  <c r="F31" i="33"/>
  <c r="E31" i="33"/>
  <c r="C31" i="33"/>
  <c r="B31" i="33"/>
  <c r="U36" i="33"/>
  <c r="H66" i="1" s="1"/>
  <c r="D30" i="33"/>
  <c r="U35" i="33"/>
  <c r="H65" i="1" s="1"/>
  <c r="D29" i="33"/>
  <c r="U34" i="33"/>
  <c r="H64" i="1" s="1"/>
  <c r="D28" i="33"/>
  <c r="U33" i="33"/>
  <c r="H63" i="1" s="1"/>
  <c r="D27" i="33"/>
  <c r="U32" i="33"/>
  <c r="H62" i="1" s="1"/>
  <c r="D26" i="33"/>
  <c r="D25" i="33"/>
  <c r="D24" i="33"/>
  <c r="U29" i="33"/>
  <c r="H55" i="1" s="1"/>
  <c r="D23" i="33"/>
  <c r="U28" i="33"/>
  <c r="H54" i="1" s="1"/>
  <c r="D22" i="33"/>
  <c r="U27" i="33"/>
  <c r="H53" i="1" s="1"/>
  <c r="D21" i="33"/>
  <c r="U26" i="33"/>
  <c r="H52" i="1" s="1"/>
  <c r="K20" i="33"/>
  <c r="J20" i="33"/>
  <c r="I20" i="33"/>
  <c r="G20" i="33"/>
  <c r="F20" i="33"/>
  <c r="E20" i="33"/>
  <c r="C20" i="33"/>
  <c r="B20" i="33"/>
  <c r="U25" i="33"/>
  <c r="H51" i="1" s="1"/>
  <c r="P19" i="33"/>
  <c r="O19" i="33"/>
  <c r="H37" i="1" s="1"/>
  <c r="N19" i="33"/>
  <c r="H36" i="1" s="1"/>
  <c r="D19" i="33"/>
  <c r="U24" i="33"/>
  <c r="H50" i="1" s="1"/>
  <c r="Q18" i="33"/>
  <c r="H38" i="1" s="1"/>
  <c r="P18" i="33"/>
  <c r="O18" i="33"/>
  <c r="N18" i="33"/>
  <c r="D18" i="33"/>
  <c r="U23" i="33"/>
  <c r="H49" i="1" s="1"/>
  <c r="D17" i="33"/>
  <c r="P16" i="33"/>
  <c r="O16" i="33"/>
  <c r="H27" i="1" s="1"/>
  <c r="N16" i="33"/>
  <c r="D16" i="33"/>
  <c r="D15" i="33"/>
  <c r="U14" i="33"/>
  <c r="H47" i="1" s="1"/>
  <c r="D14" i="33"/>
  <c r="U13" i="33"/>
  <c r="H46" i="1" s="1"/>
  <c r="P13" i="33"/>
  <c r="O13" i="33"/>
  <c r="H24" i="1" s="1"/>
  <c r="N13" i="33"/>
  <c r="D13" i="33"/>
  <c r="U12" i="33"/>
  <c r="H45" i="1" s="1"/>
  <c r="D12" i="33"/>
  <c r="U11" i="33"/>
  <c r="H44" i="1" s="1"/>
  <c r="P11" i="33"/>
  <c r="H18" i="1" s="1"/>
  <c r="O11" i="33"/>
  <c r="H17" i="1" s="1"/>
  <c r="N11" i="33"/>
  <c r="H11" i="33"/>
  <c r="D11" i="33"/>
  <c r="U10" i="33"/>
  <c r="H43" i="1" s="1"/>
  <c r="H10" i="33"/>
  <c r="D10" i="33"/>
  <c r="U9" i="33"/>
  <c r="H42" i="1" s="1"/>
  <c r="P9" i="33"/>
  <c r="O9" i="33"/>
  <c r="N9" i="33"/>
  <c r="H11" i="1" s="1"/>
  <c r="U8" i="33"/>
  <c r="H41" i="1" s="1"/>
  <c r="P8" i="33"/>
  <c r="H7" i="1" s="1"/>
  <c r="O8" i="33"/>
  <c r="N8" i="33"/>
  <c r="H10" i="1" s="1"/>
  <c r="U7" i="33"/>
  <c r="H40" i="1" s="1"/>
  <c r="P7" i="33"/>
  <c r="O7" i="33"/>
  <c r="H6" i="1" s="1"/>
  <c r="N7" i="33"/>
  <c r="H9" i="1" s="1"/>
  <c r="N7" i="32"/>
  <c r="F9" i="1" s="1"/>
  <c r="O7" i="32"/>
  <c r="F6" i="1" s="1"/>
  <c r="P7" i="32"/>
  <c r="U7" i="32"/>
  <c r="F40" i="1" s="1"/>
  <c r="N8" i="32"/>
  <c r="F10" i="1" s="1"/>
  <c r="O8" i="32"/>
  <c r="P8" i="32"/>
  <c r="F7" i="1" s="1"/>
  <c r="U8" i="32"/>
  <c r="F41" i="1" s="1"/>
  <c r="N9" i="32"/>
  <c r="F11" i="1" s="1"/>
  <c r="O9" i="32"/>
  <c r="P9" i="32"/>
  <c r="U9" i="32"/>
  <c r="F42" i="1" s="1"/>
  <c r="D10" i="32"/>
  <c r="H10" i="32"/>
  <c r="U10" i="32"/>
  <c r="F43" i="1" s="1"/>
  <c r="D11" i="32"/>
  <c r="H11" i="32"/>
  <c r="H12" i="32" s="1"/>
  <c r="N11" i="32"/>
  <c r="O11" i="32"/>
  <c r="F17" i="1" s="1"/>
  <c r="P11" i="32"/>
  <c r="F18" i="1" s="1"/>
  <c r="U11" i="32"/>
  <c r="F44" i="1" s="1"/>
  <c r="D12" i="32"/>
  <c r="U12" i="32"/>
  <c r="F45" i="1" s="1"/>
  <c r="D13" i="32"/>
  <c r="N13" i="32"/>
  <c r="O13" i="32"/>
  <c r="F24" i="1" s="1"/>
  <c r="P13" i="32"/>
  <c r="U13" i="32"/>
  <c r="F46" i="1" s="1"/>
  <c r="D14" i="32"/>
  <c r="U14" i="32"/>
  <c r="F47" i="1" s="1"/>
  <c r="D15" i="32"/>
  <c r="D16" i="32"/>
  <c r="N16" i="32"/>
  <c r="O16" i="32"/>
  <c r="F27" i="1" s="1"/>
  <c r="P16" i="32"/>
  <c r="D17" i="32"/>
  <c r="U23" i="32"/>
  <c r="F49" i="1" s="1"/>
  <c r="D18" i="32"/>
  <c r="N18" i="32"/>
  <c r="O18" i="32"/>
  <c r="P18" i="32"/>
  <c r="Q18" i="32"/>
  <c r="F38" i="1" s="1"/>
  <c r="U24" i="32"/>
  <c r="F50" i="1" s="1"/>
  <c r="D19" i="32"/>
  <c r="N19" i="32"/>
  <c r="F36" i="1" s="1"/>
  <c r="O19" i="32"/>
  <c r="F37" i="1" s="1"/>
  <c r="P19" i="32"/>
  <c r="U25" i="32"/>
  <c r="F51" i="1" s="1"/>
  <c r="B20" i="32"/>
  <c r="C20" i="32"/>
  <c r="E20" i="32"/>
  <c r="F20" i="32"/>
  <c r="I20" i="32"/>
  <c r="J20" i="32"/>
  <c r="K20" i="32"/>
  <c r="U26" i="32"/>
  <c r="F52" i="1" s="1"/>
  <c r="D21" i="32"/>
  <c r="U27" i="32"/>
  <c r="F53" i="1" s="1"/>
  <c r="D22" i="32"/>
  <c r="U28" i="32"/>
  <c r="F54" i="1" s="1"/>
  <c r="D23" i="32"/>
  <c r="U29" i="32"/>
  <c r="F55" i="1" s="1"/>
  <c r="D24" i="32"/>
  <c r="D25" i="32"/>
  <c r="D26" i="32"/>
  <c r="U32" i="32"/>
  <c r="F62" i="1" s="1"/>
  <c r="D27" i="32"/>
  <c r="U33" i="32"/>
  <c r="F63" i="1" s="1"/>
  <c r="D28" i="32"/>
  <c r="U34" i="32"/>
  <c r="F64" i="1" s="1"/>
  <c r="D29" i="32"/>
  <c r="U35" i="32"/>
  <c r="F65" i="1" s="1"/>
  <c r="D30" i="32"/>
  <c r="U36" i="32"/>
  <c r="F66" i="1" s="1"/>
  <c r="B31" i="32"/>
  <c r="C31" i="32"/>
  <c r="E31" i="32"/>
  <c r="F31" i="32"/>
  <c r="G31" i="32"/>
  <c r="I31" i="32"/>
  <c r="J31" i="32"/>
  <c r="K31" i="32"/>
  <c r="U37" i="32"/>
  <c r="F67" i="1" s="1"/>
  <c r="D32" i="32"/>
  <c r="U38" i="32"/>
  <c r="F68" i="1" s="1"/>
  <c r="D33" i="32"/>
  <c r="U39" i="32"/>
  <c r="F69" i="1" s="1"/>
  <c r="D34" i="32"/>
  <c r="U40" i="32"/>
  <c r="F70" i="1" s="1"/>
  <c r="D35" i="32"/>
  <c r="U41" i="32"/>
  <c r="F71" i="1" s="1"/>
  <c r="D36" i="32"/>
  <c r="U42" i="32"/>
  <c r="F72" i="1" s="1"/>
  <c r="D37" i="32"/>
  <c r="D38" i="32"/>
  <c r="D39" i="32"/>
  <c r="D40" i="32"/>
  <c r="D41" i="32"/>
  <c r="B42" i="32"/>
  <c r="C42" i="32"/>
  <c r="E42" i="32"/>
  <c r="F42" i="32"/>
  <c r="G42" i="32"/>
  <c r="I42" i="32"/>
  <c r="J42" i="32"/>
  <c r="K42" i="32"/>
  <c r="B43" i="32"/>
  <c r="C43" i="32"/>
  <c r="E43" i="32"/>
  <c r="F43" i="32"/>
  <c r="G43" i="32"/>
  <c r="I43" i="32"/>
  <c r="J43" i="32"/>
  <c r="K43" i="32"/>
  <c r="D31" i="34" l="1"/>
  <c r="D20" i="32"/>
  <c r="D31" i="33"/>
  <c r="D20" i="35"/>
  <c r="D42" i="35"/>
  <c r="D42" i="33"/>
  <c r="D43" i="35"/>
  <c r="H11" i="35"/>
  <c r="H12" i="35" s="1"/>
  <c r="H13" i="35" s="1"/>
  <c r="H14" i="35" s="1"/>
  <c r="H15" i="35" s="1"/>
  <c r="H16" i="35" s="1"/>
  <c r="H17" i="35" s="1"/>
  <c r="H18" i="35" s="1"/>
  <c r="H19" i="35" s="1"/>
  <c r="H21" i="35" s="1"/>
  <c r="H22" i="35" s="1"/>
  <c r="H23" i="35" s="1"/>
  <c r="H24" i="35" s="1"/>
  <c r="H25" i="35" s="1"/>
  <c r="H26" i="35" s="1"/>
  <c r="H27" i="35" s="1"/>
  <c r="H28" i="35" s="1"/>
  <c r="H29" i="35" s="1"/>
  <c r="H30" i="35" s="1"/>
  <c r="H32" i="35" s="1"/>
  <c r="H33" i="35" s="1"/>
  <c r="H34" i="35" s="1"/>
  <c r="H35" i="35" s="1"/>
  <c r="H36" i="35" s="1"/>
  <c r="H37" i="35" s="1"/>
  <c r="H38" i="35" s="1"/>
  <c r="H39" i="35" s="1"/>
  <c r="H40" i="35" s="1"/>
  <c r="H41" i="35" s="1"/>
  <c r="H42" i="35" s="1"/>
  <c r="D42" i="32"/>
  <c r="D31" i="32"/>
  <c r="D20" i="34"/>
  <c r="D42" i="34"/>
  <c r="D31" i="35"/>
  <c r="D43" i="32"/>
  <c r="D43" i="33"/>
  <c r="D43" i="34"/>
  <c r="H11" i="34"/>
  <c r="H12" i="34" s="1"/>
  <c r="H13" i="34" s="1"/>
  <c r="H14" i="34" s="1"/>
  <c r="H15" i="34" s="1"/>
  <c r="H16" i="34" s="1"/>
  <c r="H17" i="34" s="1"/>
  <c r="H18" i="34" s="1"/>
  <c r="H19" i="34" s="1"/>
  <c r="H21" i="34" s="1"/>
  <c r="H22" i="34" s="1"/>
  <c r="H23" i="34" s="1"/>
  <c r="H24" i="34" s="1"/>
  <c r="H25" i="34" s="1"/>
  <c r="H26" i="34" s="1"/>
  <c r="H27" i="34" s="1"/>
  <c r="H28" i="34" s="1"/>
  <c r="H29" i="34" s="1"/>
  <c r="H30" i="34" s="1"/>
  <c r="D20" i="33"/>
  <c r="H12" i="33"/>
  <c r="H13" i="33" s="1"/>
  <c r="H14" i="33" s="1"/>
  <c r="H15" i="33" s="1"/>
  <c r="H16" i="33" s="1"/>
  <c r="H17" i="33" s="1"/>
  <c r="H18" i="33" s="1"/>
  <c r="H19" i="33" s="1"/>
  <c r="H21" i="33" s="1"/>
  <c r="H22" i="33" s="1"/>
  <c r="H23" i="33" s="1"/>
  <c r="H24" i="33" s="1"/>
  <c r="H25" i="33" s="1"/>
  <c r="H26" i="33" s="1"/>
  <c r="H27" i="33" s="1"/>
  <c r="H28" i="33" s="1"/>
  <c r="H29" i="33" s="1"/>
  <c r="H30" i="33" s="1"/>
  <c r="H13" i="32"/>
  <c r="H14" i="32" s="1"/>
  <c r="H15" i="32" s="1"/>
  <c r="H16" i="32" s="1"/>
  <c r="H17" i="32" s="1"/>
  <c r="H18" i="32" s="1"/>
  <c r="H19" i="32" s="1"/>
  <c r="H21" i="32" s="1"/>
  <c r="H22" i="32" s="1"/>
  <c r="H23" i="32" s="1"/>
  <c r="H24" i="32" s="1"/>
  <c r="H25" i="32" s="1"/>
  <c r="H26" i="32" s="1"/>
  <c r="H27" i="32" s="1"/>
  <c r="H28" i="32" s="1"/>
  <c r="H29" i="32" s="1"/>
  <c r="H30" i="32" s="1"/>
  <c r="O7" i="31"/>
  <c r="D6" i="1" s="1"/>
  <c r="P7" i="31"/>
  <c r="U7" i="31"/>
  <c r="D40" i="1" s="1"/>
  <c r="O8" i="31"/>
  <c r="P8" i="31"/>
  <c r="D7" i="1" s="1"/>
  <c r="U8" i="31"/>
  <c r="D41" i="1" s="1"/>
  <c r="O9" i="31"/>
  <c r="P9" i="31"/>
  <c r="U9" i="31"/>
  <c r="D42" i="1" s="1"/>
  <c r="D10" i="31"/>
  <c r="H10" i="31"/>
  <c r="H11" i="31" s="1"/>
  <c r="H12" i="31" s="1"/>
  <c r="H13" i="31" s="1"/>
  <c r="U10" i="31"/>
  <c r="D43" i="1" s="1"/>
  <c r="D11" i="31"/>
  <c r="O11" i="31"/>
  <c r="D17" i="1" s="1"/>
  <c r="P11" i="31"/>
  <c r="D18" i="1" s="1"/>
  <c r="U11" i="31"/>
  <c r="D44" i="1" s="1"/>
  <c r="D12" i="31"/>
  <c r="U12" i="31"/>
  <c r="D45" i="1" s="1"/>
  <c r="D13" i="31"/>
  <c r="O13" i="31"/>
  <c r="D24" i="1" s="1"/>
  <c r="P13" i="31"/>
  <c r="U13" i="31"/>
  <c r="D46" i="1" s="1"/>
  <c r="D14" i="31"/>
  <c r="U14" i="31"/>
  <c r="D47" i="1" s="1"/>
  <c r="D15" i="31"/>
  <c r="D16" i="31"/>
  <c r="O16" i="31"/>
  <c r="D27" i="1" s="1"/>
  <c r="P16" i="31"/>
  <c r="D17" i="31"/>
  <c r="U23" i="31"/>
  <c r="D49" i="1" s="1"/>
  <c r="D18" i="31"/>
  <c r="O18" i="31"/>
  <c r="P18" i="31"/>
  <c r="Q18" i="31"/>
  <c r="D38" i="1" s="1"/>
  <c r="U24" i="31"/>
  <c r="D50" i="1" s="1"/>
  <c r="D19" i="31"/>
  <c r="O19" i="31"/>
  <c r="D37" i="1" s="1"/>
  <c r="P19" i="31"/>
  <c r="U25" i="31"/>
  <c r="D51" i="1" s="1"/>
  <c r="B20" i="31"/>
  <c r="C20" i="31"/>
  <c r="E20" i="31"/>
  <c r="F20" i="31"/>
  <c r="G20" i="31"/>
  <c r="I20" i="31"/>
  <c r="J20" i="31"/>
  <c r="K20" i="31"/>
  <c r="U26" i="31"/>
  <c r="D52" i="1" s="1"/>
  <c r="D21" i="31"/>
  <c r="U27" i="31"/>
  <c r="D53" i="1" s="1"/>
  <c r="D22" i="31"/>
  <c r="U28" i="31"/>
  <c r="D54" i="1" s="1"/>
  <c r="D23" i="31"/>
  <c r="U29" i="31"/>
  <c r="D55" i="1" s="1"/>
  <c r="D24" i="31"/>
  <c r="D25" i="31"/>
  <c r="D26" i="31"/>
  <c r="U32" i="31"/>
  <c r="D62" i="1" s="1"/>
  <c r="D27" i="31"/>
  <c r="U33" i="31"/>
  <c r="D63" i="1" s="1"/>
  <c r="D28" i="31"/>
  <c r="U34" i="31"/>
  <c r="D64" i="1" s="1"/>
  <c r="U35" i="31"/>
  <c r="D65" i="1" s="1"/>
  <c r="U36" i="31"/>
  <c r="D66" i="1" s="1"/>
  <c r="B31" i="31"/>
  <c r="C31" i="31"/>
  <c r="E31" i="31"/>
  <c r="F31" i="31"/>
  <c r="G31" i="31"/>
  <c r="I31" i="31"/>
  <c r="J31" i="31"/>
  <c r="K31" i="31"/>
  <c r="U37" i="31"/>
  <c r="D67" i="1" s="1"/>
  <c r="U38" i="31"/>
  <c r="D68" i="1" s="1"/>
  <c r="D33" i="31"/>
  <c r="U39" i="31"/>
  <c r="D69" i="1" s="1"/>
  <c r="D34" i="31"/>
  <c r="U40" i="31"/>
  <c r="D70" i="1" s="1"/>
  <c r="D35" i="31"/>
  <c r="U41" i="31"/>
  <c r="D71" i="1" s="1"/>
  <c r="D36" i="31"/>
  <c r="U42" i="31"/>
  <c r="D72" i="1" s="1"/>
  <c r="D37" i="31"/>
  <c r="D38" i="31"/>
  <c r="D39" i="31"/>
  <c r="D40" i="31"/>
  <c r="B41" i="31"/>
  <c r="C41" i="31"/>
  <c r="E41" i="31"/>
  <c r="F41" i="31"/>
  <c r="G41" i="31"/>
  <c r="I41" i="31"/>
  <c r="J41" i="31"/>
  <c r="K41" i="31"/>
  <c r="B42" i="31"/>
  <c r="C42" i="31"/>
  <c r="E42" i="31"/>
  <c r="F42" i="31"/>
  <c r="G42" i="31"/>
  <c r="I42" i="31"/>
  <c r="J42" i="31"/>
  <c r="K42" i="31"/>
  <c r="H31" i="35" l="1"/>
  <c r="H20" i="35"/>
  <c r="D31" i="31"/>
  <c r="D41" i="31"/>
  <c r="D20" i="31"/>
  <c r="Q14" i="35"/>
  <c r="H43" i="35"/>
  <c r="H20" i="34"/>
  <c r="H31" i="34"/>
  <c r="H32" i="34"/>
  <c r="H33" i="34" s="1"/>
  <c r="H34" i="34" s="1"/>
  <c r="H35" i="34" s="1"/>
  <c r="H36" i="34" s="1"/>
  <c r="H37" i="34" s="1"/>
  <c r="H38" i="34" s="1"/>
  <c r="H39" i="34" s="1"/>
  <c r="H40" i="34" s="1"/>
  <c r="H41" i="34" s="1"/>
  <c r="H42" i="34" s="1"/>
  <c r="H31" i="33"/>
  <c r="H32" i="33"/>
  <c r="H33" i="33" s="1"/>
  <c r="H34" i="33" s="1"/>
  <c r="H35" i="33" s="1"/>
  <c r="H36" i="33" s="1"/>
  <c r="H37" i="33" s="1"/>
  <c r="H38" i="33" s="1"/>
  <c r="H39" i="33" s="1"/>
  <c r="H40" i="33" s="1"/>
  <c r="H41" i="33" s="1"/>
  <c r="H42" i="33" s="1"/>
  <c r="H20" i="33"/>
  <c r="H32" i="32"/>
  <c r="H33" i="32" s="1"/>
  <c r="H34" i="32" s="1"/>
  <c r="H35" i="32" s="1"/>
  <c r="H36" i="32" s="1"/>
  <c r="H37" i="32" s="1"/>
  <c r="H38" i="32" s="1"/>
  <c r="H39" i="32" s="1"/>
  <c r="H40" i="32" s="1"/>
  <c r="H41" i="32" s="1"/>
  <c r="H42" i="32" s="1"/>
  <c r="H31" i="32"/>
  <c r="H20" i="32"/>
  <c r="H14" i="31"/>
  <c r="H15" i="31" s="1"/>
  <c r="H16" i="31" s="1"/>
  <c r="H17" i="31" s="1"/>
  <c r="H18" i="31" s="1"/>
  <c r="H19" i="31" s="1"/>
  <c r="H21" i="31" s="1"/>
  <c r="H22" i="31" s="1"/>
  <c r="H23" i="31" s="1"/>
  <c r="H24" i="31" s="1"/>
  <c r="H25" i="31" s="1"/>
  <c r="H26" i="31" s="1"/>
  <c r="H27" i="31" s="1"/>
  <c r="H28" i="31" s="1"/>
  <c r="H29" i="31" s="1"/>
  <c r="H30" i="31" s="1"/>
  <c r="D42" i="31"/>
  <c r="M17" i="36" l="1"/>
  <c r="M13" i="36" s="1"/>
  <c r="M25" i="1"/>
  <c r="Q14" i="34"/>
  <c r="H43" i="34"/>
  <c r="H43" i="33"/>
  <c r="Q14" i="33"/>
  <c r="H43" i="32"/>
  <c r="Q14" i="32"/>
  <c r="H32" i="31"/>
  <c r="H33" i="31" s="1"/>
  <c r="H34" i="31" s="1"/>
  <c r="H35" i="31" s="1"/>
  <c r="H36" i="31" s="1"/>
  <c r="H37" i="31" s="1"/>
  <c r="H38" i="31" s="1"/>
  <c r="H39" i="31" s="1"/>
  <c r="H40" i="31" s="1"/>
  <c r="H41" i="31" s="1"/>
  <c r="H31" i="31"/>
  <c r="H20" i="31"/>
  <c r="K44" i="29"/>
  <c r="J44" i="29"/>
  <c r="I44" i="29"/>
  <c r="G44" i="29"/>
  <c r="F44" i="29"/>
  <c r="E44" i="29"/>
  <c r="C44" i="29"/>
  <c r="B44" i="29"/>
  <c r="K43" i="29"/>
  <c r="J43" i="29"/>
  <c r="I43" i="29"/>
  <c r="G43" i="29"/>
  <c r="F43" i="29"/>
  <c r="E43" i="29"/>
  <c r="C43" i="29"/>
  <c r="B43" i="29"/>
  <c r="D42" i="29"/>
  <c r="D41" i="29"/>
  <c r="D40" i="29"/>
  <c r="D39" i="29"/>
  <c r="D38" i="29"/>
  <c r="D37" i="29"/>
  <c r="U42" i="29"/>
  <c r="E72" i="1" s="1"/>
  <c r="D36" i="29"/>
  <c r="U41" i="29"/>
  <c r="E71" i="1" s="1"/>
  <c r="D35" i="29"/>
  <c r="U40" i="29"/>
  <c r="E70" i="1" s="1"/>
  <c r="D34" i="29"/>
  <c r="U39" i="29"/>
  <c r="E69" i="1" s="1"/>
  <c r="D33" i="29"/>
  <c r="U38" i="29"/>
  <c r="E68" i="1" s="1"/>
  <c r="D32" i="29"/>
  <c r="U37" i="29"/>
  <c r="E67" i="1" s="1"/>
  <c r="K31" i="29"/>
  <c r="J31" i="29"/>
  <c r="I31" i="29"/>
  <c r="G31" i="29"/>
  <c r="F31" i="29"/>
  <c r="E31" i="29"/>
  <c r="C31" i="29"/>
  <c r="B31" i="29"/>
  <c r="U36" i="29"/>
  <c r="E66" i="1" s="1"/>
  <c r="D30" i="29"/>
  <c r="U35" i="29"/>
  <c r="E65" i="1" s="1"/>
  <c r="D29" i="29"/>
  <c r="U34" i="29"/>
  <c r="E64" i="1" s="1"/>
  <c r="D28" i="29"/>
  <c r="U33" i="29"/>
  <c r="E63" i="1" s="1"/>
  <c r="D27" i="29"/>
  <c r="U32" i="29"/>
  <c r="E62" i="1" s="1"/>
  <c r="D26" i="29"/>
  <c r="D25" i="29"/>
  <c r="D24" i="29"/>
  <c r="U29" i="29"/>
  <c r="E55" i="1" s="1"/>
  <c r="D23" i="29"/>
  <c r="U28" i="29"/>
  <c r="E54" i="1" s="1"/>
  <c r="D22" i="29"/>
  <c r="U27" i="29"/>
  <c r="E53" i="1" s="1"/>
  <c r="D21" i="29"/>
  <c r="U26" i="29"/>
  <c r="E52" i="1" s="1"/>
  <c r="K20" i="29"/>
  <c r="J20" i="29"/>
  <c r="I20" i="29"/>
  <c r="G20" i="29"/>
  <c r="F20" i="29"/>
  <c r="E20" i="29"/>
  <c r="C20" i="29"/>
  <c r="B20" i="29"/>
  <c r="U25" i="29"/>
  <c r="E51" i="1" s="1"/>
  <c r="P19" i="29"/>
  <c r="O19" i="29"/>
  <c r="E37" i="1" s="1"/>
  <c r="N19" i="29"/>
  <c r="E36" i="1" s="1"/>
  <c r="D19" i="29"/>
  <c r="U24" i="29"/>
  <c r="E50" i="1" s="1"/>
  <c r="Q18" i="29"/>
  <c r="E38" i="1" s="1"/>
  <c r="P18" i="29"/>
  <c r="O18" i="29"/>
  <c r="N18" i="29"/>
  <c r="D18" i="29"/>
  <c r="U23" i="29"/>
  <c r="E49" i="1" s="1"/>
  <c r="D17" i="29"/>
  <c r="P16" i="29"/>
  <c r="O16" i="29"/>
  <c r="E27" i="1" s="1"/>
  <c r="N16" i="29"/>
  <c r="D16" i="29"/>
  <c r="D15" i="29"/>
  <c r="U14" i="29"/>
  <c r="E47" i="1" s="1"/>
  <c r="D14" i="29"/>
  <c r="U13" i="29"/>
  <c r="E46" i="1" s="1"/>
  <c r="P13" i="29"/>
  <c r="O13" i="29"/>
  <c r="E24" i="1" s="1"/>
  <c r="N13" i="29"/>
  <c r="D13" i="29"/>
  <c r="U12" i="29"/>
  <c r="E45" i="1" s="1"/>
  <c r="D12" i="29"/>
  <c r="U11" i="29"/>
  <c r="E44" i="1" s="1"/>
  <c r="P11" i="29"/>
  <c r="E18" i="1" s="1"/>
  <c r="O11" i="29"/>
  <c r="E17" i="1" s="1"/>
  <c r="N11" i="29"/>
  <c r="D11" i="29"/>
  <c r="U10" i="29"/>
  <c r="E43" i="1" s="1"/>
  <c r="H10" i="29"/>
  <c r="D10" i="29"/>
  <c r="U9" i="29"/>
  <c r="E42" i="1" s="1"/>
  <c r="P9" i="29"/>
  <c r="O9" i="29"/>
  <c r="N9" i="29"/>
  <c r="E11" i="1" s="1"/>
  <c r="U8" i="29"/>
  <c r="E41" i="1" s="1"/>
  <c r="P8" i="29"/>
  <c r="E7" i="1" s="1"/>
  <c r="O8" i="29"/>
  <c r="N8" i="29"/>
  <c r="E10" i="1" s="1"/>
  <c r="U7" i="29"/>
  <c r="E40" i="1" s="1"/>
  <c r="P7" i="29"/>
  <c r="O7" i="29"/>
  <c r="E6" i="1" s="1"/>
  <c r="N7" i="29"/>
  <c r="E9" i="1" s="1"/>
  <c r="K44" i="28"/>
  <c r="J44" i="28"/>
  <c r="I44" i="28"/>
  <c r="G44" i="28"/>
  <c r="F44" i="28"/>
  <c r="E44" i="28"/>
  <c r="C44" i="28"/>
  <c r="B44" i="28"/>
  <c r="K43" i="28"/>
  <c r="J43" i="28"/>
  <c r="I43" i="28"/>
  <c r="G43" i="28"/>
  <c r="F43" i="28"/>
  <c r="E43" i="28"/>
  <c r="C43" i="28"/>
  <c r="B43" i="28"/>
  <c r="D42" i="28"/>
  <c r="D41" i="28"/>
  <c r="D40" i="28"/>
  <c r="D39" i="28"/>
  <c r="D38" i="28"/>
  <c r="D37" i="28"/>
  <c r="U42" i="28"/>
  <c r="G72" i="1" s="1"/>
  <c r="D36" i="28"/>
  <c r="U41" i="28"/>
  <c r="G71" i="1" s="1"/>
  <c r="D35" i="28"/>
  <c r="U40" i="28"/>
  <c r="G70" i="1" s="1"/>
  <c r="D34" i="28"/>
  <c r="U39" i="28"/>
  <c r="G69" i="1" s="1"/>
  <c r="D33" i="28"/>
  <c r="U38" i="28"/>
  <c r="G68" i="1" s="1"/>
  <c r="D32" i="28"/>
  <c r="U37" i="28"/>
  <c r="G67" i="1" s="1"/>
  <c r="K31" i="28"/>
  <c r="J31" i="28"/>
  <c r="I31" i="28"/>
  <c r="G31" i="28"/>
  <c r="F31" i="28"/>
  <c r="E31" i="28"/>
  <c r="C31" i="28"/>
  <c r="B31" i="28"/>
  <c r="U36" i="28"/>
  <c r="G66" i="1" s="1"/>
  <c r="D30" i="28"/>
  <c r="U35" i="28"/>
  <c r="G65" i="1" s="1"/>
  <c r="D29" i="28"/>
  <c r="U34" i="28"/>
  <c r="G64" i="1" s="1"/>
  <c r="D28" i="28"/>
  <c r="U33" i="28"/>
  <c r="G63" i="1" s="1"/>
  <c r="D27" i="28"/>
  <c r="U32" i="28"/>
  <c r="G62" i="1" s="1"/>
  <c r="D26" i="28"/>
  <c r="D25" i="28"/>
  <c r="D24" i="28"/>
  <c r="U29" i="28"/>
  <c r="G55" i="1" s="1"/>
  <c r="D23" i="28"/>
  <c r="U28" i="28"/>
  <c r="G54" i="1" s="1"/>
  <c r="D22" i="28"/>
  <c r="U27" i="28"/>
  <c r="G53" i="1" s="1"/>
  <c r="D21" i="28"/>
  <c r="U26" i="28"/>
  <c r="G52" i="1" s="1"/>
  <c r="K20" i="28"/>
  <c r="J20" i="28"/>
  <c r="I20" i="28"/>
  <c r="G20" i="28"/>
  <c r="F20" i="28"/>
  <c r="E20" i="28"/>
  <c r="C20" i="28"/>
  <c r="B20" i="28"/>
  <c r="U25" i="28"/>
  <c r="G51" i="1" s="1"/>
  <c r="P19" i="28"/>
  <c r="O19" i="28"/>
  <c r="G37" i="1" s="1"/>
  <c r="N19" i="28"/>
  <c r="G36" i="1" s="1"/>
  <c r="D19" i="28"/>
  <c r="U24" i="28"/>
  <c r="G50" i="1" s="1"/>
  <c r="Q18" i="28"/>
  <c r="G38" i="1" s="1"/>
  <c r="P18" i="28"/>
  <c r="O18" i="28"/>
  <c r="N18" i="28"/>
  <c r="D18" i="28"/>
  <c r="U23" i="28"/>
  <c r="G49" i="1" s="1"/>
  <c r="D17" i="28"/>
  <c r="P16" i="28"/>
  <c r="O16" i="28"/>
  <c r="G27" i="1" s="1"/>
  <c r="N16" i="28"/>
  <c r="D16" i="28"/>
  <c r="D15" i="28"/>
  <c r="U14" i="28"/>
  <c r="G47" i="1" s="1"/>
  <c r="D14" i="28"/>
  <c r="U13" i="28"/>
  <c r="G46" i="1" s="1"/>
  <c r="P13" i="28"/>
  <c r="O13" i="28"/>
  <c r="G24" i="1" s="1"/>
  <c r="N13" i="28"/>
  <c r="D13" i="28"/>
  <c r="U12" i="28"/>
  <c r="G45" i="1" s="1"/>
  <c r="D12" i="28"/>
  <c r="U11" i="28"/>
  <c r="G44" i="1" s="1"/>
  <c r="P11" i="28"/>
  <c r="G18" i="1" s="1"/>
  <c r="O11" i="28"/>
  <c r="G17" i="1" s="1"/>
  <c r="N11" i="28"/>
  <c r="D11" i="28"/>
  <c r="U10" i="28"/>
  <c r="G43" i="1" s="1"/>
  <c r="H10" i="28"/>
  <c r="H11" i="28" s="1"/>
  <c r="H12" i="28" s="1"/>
  <c r="H13" i="28" s="1"/>
  <c r="H14" i="28" s="1"/>
  <c r="H15" i="28" s="1"/>
  <c r="H16" i="28" s="1"/>
  <c r="H17" i="28" s="1"/>
  <c r="H18" i="28" s="1"/>
  <c r="H19" i="28" s="1"/>
  <c r="H21" i="28" s="1"/>
  <c r="H22" i="28" s="1"/>
  <c r="H23" i="28" s="1"/>
  <c r="H24" i="28" s="1"/>
  <c r="H25" i="28" s="1"/>
  <c r="H26" i="28" s="1"/>
  <c r="H27" i="28" s="1"/>
  <c r="H28" i="28" s="1"/>
  <c r="H29" i="28" s="1"/>
  <c r="H30" i="28" s="1"/>
  <c r="D10" i="28"/>
  <c r="U9" i="28"/>
  <c r="G42" i="1" s="1"/>
  <c r="P9" i="28"/>
  <c r="O9" i="28"/>
  <c r="N9" i="28"/>
  <c r="G11" i="1" s="1"/>
  <c r="U8" i="28"/>
  <c r="G41" i="1" s="1"/>
  <c r="P8" i="28"/>
  <c r="G7" i="1" s="1"/>
  <c r="O8" i="28"/>
  <c r="N8" i="28"/>
  <c r="G10" i="1" s="1"/>
  <c r="U7" i="28"/>
  <c r="G40" i="1" s="1"/>
  <c r="P7" i="28"/>
  <c r="O7" i="28"/>
  <c r="G6" i="1" s="1"/>
  <c r="G9" i="1"/>
  <c r="K44" i="27"/>
  <c r="J44" i="27"/>
  <c r="I44" i="27"/>
  <c r="G44" i="27"/>
  <c r="F44" i="27"/>
  <c r="E44" i="27"/>
  <c r="C44" i="27"/>
  <c r="B44" i="27"/>
  <c r="K43" i="27"/>
  <c r="J43" i="27"/>
  <c r="I43" i="27"/>
  <c r="G43" i="27"/>
  <c r="F43" i="27"/>
  <c r="E43" i="27"/>
  <c r="C43" i="27"/>
  <c r="B43" i="27"/>
  <c r="D42" i="27"/>
  <c r="D41" i="27"/>
  <c r="D40" i="27"/>
  <c r="D39" i="27"/>
  <c r="D38" i="27"/>
  <c r="D37" i="27"/>
  <c r="U42" i="27"/>
  <c r="I72" i="1" s="1"/>
  <c r="D36" i="27"/>
  <c r="U41" i="27"/>
  <c r="I71" i="1" s="1"/>
  <c r="D35" i="27"/>
  <c r="U40" i="27"/>
  <c r="I70" i="1" s="1"/>
  <c r="D34" i="27"/>
  <c r="U39" i="27"/>
  <c r="I69" i="1" s="1"/>
  <c r="D33" i="27"/>
  <c r="U38" i="27"/>
  <c r="I68" i="1" s="1"/>
  <c r="D32" i="27"/>
  <c r="U37" i="27"/>
  <c r="I67" i="1" s="1"/>
  <c r="K31" i="27"/>
  <c r="J31" i="27"/>
  <c r="I31" i="27"/>
  <c r="G31" i="27"/>
  <c r="F31" i="27"/>
  <c r="E31" i="27"/>
  <c r="C31" i="27"/>
  <c r="B31" i="27"/>
  <c r="U36" i="27"/>
  <c r="I66" i="1" s="1"/>
  <c r="D30" i="27"/>
  <c r="U35" i="27"/>
  <c r="I65" i="1" s="1"/>
  <c r="D29" i="27"/>
  <c r="U34" i="27"/>
  <c r="I64" i="1" s="1"/>
  <c r="D28" i="27"/>
  <c r="U33" i="27"/>
  <c r="I63" i="1" s="1"/>
  <c r="D27" i="27"/>
  <c r="U32" i="27"/>
  <c r="I62" i="1" s="1"/>
  <c r="D26" i="27"/>
  <c r="D25" i="27"/>
  <c r="U29" i="27"/>
  <c r="I55" i="1" s="1"/>
  <c r="D23" i="27"/>
  <c r="U28" i="27"/>
  <c r="I54" i="1" s="1"/>
  <c r="D22" i="27"/>
  <c r="U27" i="27"/>
  <c r="I53" i="1" s="1"/>
  <c r="D21" i="27"/>
  <c r="U26" i="27"/>
  <c r="I52" i="1" s="1"/>
  <c r="K20" i="27"/>
  <c r="J20" i="27"/>
  <c r="I20" i="27"/>
  <c r="G20" i="27"/>
  <c r="F20" i="27"/>
  <c r="E20" i="27"/>
  <c r="C20" i="27"/>
  <c r="B20" i="27"/>
  <c r="U25" i="27"/>
  <c r="I51" i="1" s="1"/>
  <c r="P19" i="27"/>
  <c r="O19" i="27"/>
  <c r="I37" i="1" s="1"/>
  <c r="N19" i="27"/>
  <c r="I36" i="1" s="1"/>
  <c r="D19" i="27"/>
  <c r="U24" i="27"/>
  <c r="I50" i="1" s="1"/>
  <c r="Q18" i="27"/>
  <c r="I38" i="1" s="1"/>
  <c r="P18" i="27"/>
  <c r="O18" i="27"/>
  <c r="N18" i="27"/>
  <c r="D18" i="27"/>
  <c r="U23" i="27"/>
  <c r="I49" i="1" s="1"/>
  <c r="D17" i="27"/>
  <c r="P16" i="27"/>
  <c r="O16" i="27"/>
  <c r="I27" i="1" s="1"/>
  <c r="N16" i="27"/>
  <c r="D16" i="27"/>
  <c r="D15" i="27"/>
  <c r="U14" i="27"/>
  <c r="I47" i="1" s="1"/>
  <c r="D14" i="27"/>
  <c r="U13" i="27"/>
  <c r="I46" i="1" s="1"/>
  <c r="P13" i="27"/>
  <c r="O13" i="27"/>
  <c r="I24" i="1" s="1"/>
  <c r="N13" i="27"/>
  <c r="D13" i="27"/>
  <c r="U12" i="27"/>
  <c r="I45" i="1" s="1"/>
  <c r="D12" i="27"/>
  <c r="U11" i="27"/>
  <c r="I44" i="1" s="1"/>
  <c r="P11" i="27"/>
  <c r="I18" i="1" s="1"/>
  <c r="O11" i="27"/>
  <c r="I17" i="1" s="1"/>
  <c r="N11" i="27"/>
  <c r="D11" i="27"/>
  <c r="U10" i="27"/>
  <c r="I43" i="1" s="1"/>
  <c r="H10" i="27"/>
  <c r="H11" i="27" s="1"/>
  <c r="H12" i="27" s="1"/>
  <c r="H13" i="27" s="1"/>
  <c r="H14" i="27" s="1"/>
  <c r="H16" i="27" s="1"/>
  <c r="H17" i="27" s="1"/>
  <c r="H18" i="27" s="1"/>
  <c r="H19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D10" i="27"/>
  <c r="U9" i="27"/>
  <c r="I42" i="1" s="1"/>
  <c r="P9" i="27"/>
  <c r="O9" i="27"/>
  <c r="N9" i="27"/>
  <c r="I11" i="1" s="1"/>
  <c r="U8" i="27"/>
  <c r="I41" i="1" s="1"/>
  <c r="P8" i="27"/>
  <c r="I7" i="1" s="1"/>
  <c r="O8" i="27"/>
  <c r="N8" i="27"/>
  <c r="I10" i="1" s="1"/>
  <c r="U7" i="27"/>
  <c r="I40" i="1" s="1"/>
  <c r="P7" i="27"/>
  <c r="O7" i="27"/>
  <c r="I6" i="1" s="1"/>
  <c r="N7" i="27"/>
  <c r="I9" i="1" s="1"/>
  <c r="K44" i="26"/>
  <c r="J44" i="26"/>
  <c r="I44" i="26"/>
  <c r="G44" i="26"/>
  <c r="F44" i="26"/>
  <c r="E44" i="26"/>
  <c r="C44" i="26"/>
  <c r="B44" i="26"/>
  <c r="K43" i="26"/>
  <c r="J43" i="26"/>
  <c r="I43" i="26"/>
  <c r="G43" i="26"/>
  <c r="F43" i="26"/>
  <c r="E43" i="26"/>
  <c r="C43" i="26"/>
  <c r="B43" i="26"/>
  <c r="D42" i="26"/>
  <c r="D41" i="26"/>
  <c r="D40" i="26"/>
  <c r="D39" i="26"/>
  <c r="D38" i="26"/>
  <c r="D37" i="26"/>
  <c r="U42" i="26"/>
  <c r="L72" i="1" s="1"/>
  <c r="D36" i="26"/>
  <c r="U41" i="26"/>
  <c r="L71" i="1" s="1"/>
  <c r="D35" i="26"/>
  <c r="U40" i="26"/>
  <c r="L70" i="1" s="1"/>
  <c r="D34" i="26"/>
  <c r="U39" i="26"/>
  <c r="L69" i="1" s="1"/>
  <c r="D33" i="26"/>
  <c r="U38" i="26"/>
  <c r="L68" i="1" s="1"/>
  <c r="D32" i="26"/>
  <c r="U37" i="26"/>
  <c r="L67" i="1" s="1"/>
  <c r="K31" i="26"/>
  <c r="J31" i="26"/>
  <c r="I31" i="26"/>
  <c r="G31" i="26"/>
  <c r="F31" i="26"/>
  <c r="E31" i="26"/>
  <c r="C31" i="26"/>
  <c r="B31" i="26"/>
  <c r="U36" i="26"/>
  <c r="L66" i="1" s="1"/>
  <c r="D30" i="26"/>
  <c r="U35" i="26"/>
  <c r="L65" i="1" s="1"/>
  <c r="D29" i="26"/>
  <c r="U34" i="26"/>
  <c r="L64" i="1" s="1"/>
  <c r="D28" i="26"/>
  <c r="U33" i="26"/>
  <c r="L63" i="1" s="1"/>
  <c r="D27" i="26"/>
  <c r="U32" i="26"/>
  <c r="L62" i="1" s="1"/>
  <c r="D26" i="26"/>
  <c r="D25" i="26"/>
  <c r="D24" i="26"/>
  <c r="U29" i="26"/>
  <c r="L55" i="1" s="1"/>
  <c r="D23" i="26"/>
  <c r="U28" i="26"/>
  <c r="L54" i="1" s="1"/>
  <c r="D22" i="26"/>
  <c r="U27" i="26"/>
  <c r="L53" i="1" s="1"/>
  <c r="D21" i="26"/>
  <c r="U26" i="26"/>
  <c r="L52" i="1" s="1"/>
  <c r="K20" i="26"/>
  <c r="J20" i="26"/>
  <c r="I20" i="26"/>
  <c r="G20" i="26"/>
  <c r="F20" i="26"/>
  <c r="E20" i="26"/>
  <c r="C20" i="26"/>
  <c r="B20" i="26"/>
  <c r="U25" i="26"/>
  <c r="L51" i="1" s="1"/>
  <c r="P19" i="26"/>
  <c r="O19" i="26"/>
  <c r="L37" i="1" s="1"/>
  <c r="N19" i="26"/>
  <c r="L36" i="1" s="1"/>
  <c r="D19" i="26"/>
  <c r="U24" i="26"/>
  <c r="L50" i="1" s="1"/>
  <c r="Q18" i="26"/>
  <c r="L38" i="1" s="1"/>
  <c r="P18" i="26"/>
  <c r="O18" i="26"/>
  <c r="N18" i="26"/>
  <c r="D18" i="26"/>
  <c r="U23" i="26"/>
  <c r="L49" i="1" s="1"/>
  <c r="P16" i="26"/>
  <c r="O16" i="26"/>
  <c r="L27" i="1" s="1"/>
  <c r="N16" i="26"/>
  <c r="D16" i="26"/>
  <c r="D15" i="26"/>
  <c r="U14" i="26"/>
  <c r="L47" i="1" s="1"/>
  <c r="D14" i="26"/>
  <c r="U13" i="26"/>
  <c r="L46" i="1" s="1"/>
  <c r="P13" i="26"/>
  <c r="O13" i="26"/>
  <c r="L24" i="1" s="1"/>
  <c r="N13" i="26"/>
  <c r="D13" i="26"/>
  <c r="U12" i="26"/>
  <c r="L45" i="1" s="1"/>
  <c r="D12" i="26"/>
  <c r="U11" i="26"/>
  <c r="L44" i="1" s="1"/>
  <c r="P11" i="26"/>
  <c r="L18" i="1" s="1"/>
  <c r="O11" i="26"/>
  <c r="L17" i="1" s="1"/>
  <c r="N11" i="26"/>
  <c r="D11" i="26"/>
  <c r="U10" i="26"/>
  <c r="L43" i="1" s="1"/>
  <c r="H10" i="26"/>
  <c r="H11" i="26" s="1"/>
  <c r="H12" i="26" s="1"/>
  <c r="H13" i="26" s="1"/>
  <c r="H14" i="26" s="1"/>
  <c r="H15" i="26" s="1"/>
  <c r="H16" i="26" s="1"/>
  <c r="H17" i="26" s="1"/>
  <c r="H18" i="26" s="1"/>
  <c r="H19" i="26" s="1"/>
  <c r="H21" i="26" s="1"/>
  <c r="H22" i="26" s="1"/>
  <c r="H23" i="26" s="1"/>
  <c r="H24" i="26" s="1"/>
  <c r="H25" i="26" s="1"/>
  <c r="H26" i="26" s="1"/>
  <c r="H27" i="26" s="1"/>
  <c r="H28" i="26" s="1"/>
  <c r="H29" i="26" s="1"/>
  <c r="H30" i="26" s="1"/>
  <c r="D10" i="26"/>
  <c r="U9" i="26"/>
  <c r="L42" i="1" s="1"/>
  <c r="P9" i="26"/>
  <c r="O9" i="26"/>
  <c r="N9" i="26"/>
  <c r="L11" i="1" s="1"/>
  <c r="U8" i="26"/>
  <c r="L41" i="1" s="1"/>
  <c r="P8" i="26"/>
  <c r="L7" i="1" s="1"/>
  <c r="O8" i="26"/>
  <c r="N8" i="26"/>
  <c r="L10" i="1" s="1"/>
  <c r="U7" i="26"/>
  <c r="L40" i="1" s="1"/>
  <c r="P7" i="26"/>
  <c r="O7" i="26"/>
  <c r="L6" i="1" s="1"/>
  <c r="N7" i="26"/>
  <c r="L9" i="1" s="1"/>
  <c r="K44" i="25"/>
  <c r="J44" i="25"/>
  <c r="I44" i="25"/>
  <c r="G44" i="25"/>
  <c r="F44" i="25"/>
  <c r="E44" i="25"/>
  <c r="C44" i="25"/>
  <c r="B44" i="25"/>
  <c r="K43" i="25"/>
  <c r="J43" i="25"/>
  <c r="I43" i="25"/>
  <c r="G43" i="25"/>
  <c r="F43" i="25"/>
  <c r="E43" i="25"/>
  <c r="C43" i="25"/>
  <c r="B43" i="25"/>
  <c r="D42" i="25"/>
  <c r="D41" i="25"/>
  <c r="D40" i="25"/>
  <c r="D39" i="25"/>
  <c r="D38" i="25"/>
  <c r="D37" i="25"/>
  <c r="U42" i="25"/>
  <c r="J72" i="1" s="1"/>
  <c r="D36" i="25"/>
  <c r="U41" i="25"/>
  <c r="J71" i="1" s="1"/>
  <c r="D35" i="25"/>
  <c r="U40" i="25"/>
  <c r="J70" i="1" s="1"/>
  <c r="D34" i="25"/>
  <c r="U39" i="25"/>
  <c r="J69" i="1" s="1"/>
  <c r="D33" i="25"/>
  <c r="U38" i="25"/>
  <c r="J68" i="1" s="1"/>
  <c r="D32" i="25"/>
  <c r="U37" i="25"/>
  <c r="J67" i="1" s="1"/>
  <c r="K31" i="25"/>
  <c r="J31" i="25"/>
  <c r="I31" i="25"/>
  <c r="G31" i="25"/>
  <c r="F31" i="25"/>
  <c r="E31" i="25"/>
  <c r="C31" i="25"/>
  <c r="B31" i="25"/>
  <c r="U36" i="25"/>
  <c r="J66" i="1" s="1"/>
  <c r="D30" i="25"/>
  <c r="U35" i="25"/>
  <c r="J65" i="1" s="1"/>
  <c r="D29" i="25"/>
  <c r="U34" i="25"/>
  <c r="J64" i="1" s="1"/>
  <c r="D28" i="25"/>
  <c r="U33" i="25"/>
  <c r="J63" i="1" s="1"/>
  <c r="D27" i="25"/>
  <c r="U32" i="25"/>
  <c r="J62" i="1" s="1"/>
  <c r="D26" i="25"/>
  <c r="D25" i="25"/>
  <c r="D24" i="25"/>
  <c r="U29" i="25"/>
  <c r="J55" i="1" s="1"/>
  <c r="D23" i="25"/>
  <c r="U28" i="25"/>
  <c r="J54" i="1" s="1"/>
  <c r="D22" i="25"/>
  <c r="U27" i="25"/>
  <c r="J53" i="1" s="1"/>
  <c r="D21" i="25"/>
  <c r="U26" i="25"/>
  <c r="J52" i="1" s="1"/>
  <c r="K20" i="25"/>
  <c r="J20" i="25"/>
  <c r="I20" i="25"/>
  <c r="G20" i="25"/>
  <c r="F20" i="25"/>
  <c r="E20" i="25"/>
  <c r="C20" i="25"/>
  <c r="B20" i="25"/>
  <c r="U25" i="25"/>
  <c r="J51" i="1" s="1"/>
  <c r="P19" i="25"/>
  <c r="O19" i="25"/>
  <c r="J37" i="1" s="1"/>
  <c r="N19" i="25"/>
  <c r="J36" i="1" s="1"/>
  <c r="D19" i="25"/>
  <c r="U24" i="25"/>
  <c r="J50" i="1" s="1"/>
  <c r="Q18" i="25"/>
  <c r="J38" i="1" s="1"/>
  <c r="P18" i="25"/>
  <c r="O18" i="25"/>
  <c r="N18" i="25"/>
  <c r="D18" i="25"/>
  <c r="U23" i="25"/>
  <c r="J49" i="1" s="1"/>
  <c r="D17" i="25"/>
  <c r="P16" i="25"/>
  <c r="O16" i="25"/>
  <c r="J27" i="1" s="1"/>
  <c r="N16" i="25"/>
  <c r="D16" i="25"/>
  <c r="D15" i="25"/>
  <c r="U14" i="25"/>
  <c r="J47" i="1" s="1"/>
  <c r="D14" i="25"/>
  <c r="U13" i="25"/>
  <c r="J46" i="1" s="1"/>
  <c r="P13" i="25"/>
  <c r="O13" i="25"/>
  <c r="J24" i="1" s="1"/>
  <c r="N13" i="25"/>
  <c r="D13" i="25"/>
  <c r="U12" i="25"/>
  <c r="J45" i="1" s="1"/>
  <c r="D12" i="25"/>
  <c r="U11" i="25"/>
  <c r="J44" i="1" s="1"/>
  <c r="P11" i="25"/>
  <c r="J18" i="1" s="1"/>
  <c r="O11" i="25"/>
  <c r="J17" i="1" s="1"/>
  <c r="N11" i="25"/>
  <c r="D11" i="25"/>
  <c r="U10" i="25"/>
  <c r="J43" i="1" s="1"/>
  <c r="H10" i="25"/>
  <c r="H11" i="25" s="1"/>
  <c r="D10" i="25"/>
  <c r="U9" i="25"/>
  <c r="J42" i="1" s="1"/>
  <c r="P9" i="25"/>
  <c r="O9" i="25"/>
  <c r="N9" i="25"/>
  <c r="J11" i="1" s="1"/>
  <c r="U8" i="25"/>
  <c r="J41" i="1" s="1"/>
  <c r="P8" i="25"/>
  <c r="J7" i="1" s="1"/>
  <c r="O8" i="25"/>
  <c r="N8" i="25"/>
  <c r="J10" i="1" s="1"/>
  <c r="U7" i="25"/>
  <c r="J40" i="1" s="1"/>
  <c r="P7" i="25"/>
  <c r="O7" i="25"/>
  <c r="J6" i="1" s="1"/>
  <c r="N7" i="25"/>
  <c r="J9" i="1" s="1"/>
  <c r="K44" i="24"/>
  <c r="J44" i="24"/>
  <c r="I44" i="24"/>
  <c r="G44" i="24"/>
  <c r="F44" i="24"/>
  <c r="E44" i="24"/>
  <c r="C44" i="24"/>
  <c r="B44" i="24"/>
  <c r="K43" i="24"/>
  <c r="J43" i="24"/>
  <c r="I43" i="24"/>
  <c r="G43" i="24"/>
  <c r="F43" i="24"/>
  <c r="E43" i="24"/>
  <c r="C43" i="24"/>
  <c r="B43" i="24"/>
  <c r="D42" i="24"/>
  <c r="D41" i="24"/>
  <c r="D40" i="24"/>
  <c r="D39" i="24"/>
  <c r="D38" i="24"/>
  <c r="D37" i="24"/>
  <c r="U42" i="24"/>
  <c r="N72" i="1" s="1"/>
  <c r="D36" i="24"/>
  <c r="U41" i="24"/>
  <c r="N71" i="1" s="1"/>
  <c r="D35" i="24"/>
  <c r="U40" i="24"/>
  <c r="N70" i="1" s="1"/>
  <c r="D34" i="24"/>
  <c r="U39" i="24"/>
  <c r="N69" i="1" s="1"/>
  <c r="D33" i="24"/>
  <c r="U38" i="24"/>
  <c r="N68" i="1" s="1"/>
  <c r="D32" i="24"/>
  <c r="U37" i="24"/>
  <c r="N67" i="1" s="1"/>
  <c r="K31" i="24"/>
  <c r="J31" i="24"/>
  <c r="I31" i="24"/>
  <c r="G31" i="24"/>
  <c r="F31" i="24"/>
  <c r="E31" i="24"/>
  <c r="C31" i="24"/>
  <c r="B31" i="24"/>
  <c r="U36" i="24"/>
  <c r="N66" i="1" s="1"/>
  <c r="D30" i="24"/>
  <c r="U35" i="24"/>
  <c r="N65" i="1" s="1"/>
  <c r="D29" i="24"/>
  <c r="U34" i="24"/>
  <c r="N64" i="1" s="1"/>
  <c r="D28" i="24"/>
  <c r="U33" i="24"/>
  <c r="N63" i="1" s="1"/>
  <c r="D27" i="24"/>
  <c r="U32" i="24"/>
  <c r="N62" i="1" s="1"/>
  <c r="D26" i="24"/>
  <c r="D25" i="24"/>
  <c r="D24" i="24"/>
  <c r="U29" i="24"/>
  <c r="N55" i="1" s="1"/>
  <c r="D23" i="24"/>
  <c r="U28" i="24"/>
  <c r="N54" i="1" s="1"/>
  <c r="D22" i="24"/>
  <c r="U27" i="24"/>
  <c r="N53" i="1" s="1"/>
  <c r="D21" i="24"/>
  <c r="U26" i="24"/>
  <c r="N52" i="1" s="1"/>
  <c r="K20" i="24"/>
  <c r="J20" i="24"/>
  <c r="I20" i="24"/>
  <c r="G20" i="24"/>
  <c r="F20" i="24"/>
  <c r="E20" i="24"/>
  <c r="C20" i="24"/>
  <c r="B20" i="24"/>
  <c r="U25" i="24"/>
  <c r="N51" i="1" s="1"/>
  <c r="P19" i="24"/>
  <c r="O19" i="24"/>
  <c r="N37" i="1" s="1"/>
  <c r="N19" i="24"/>
  <c r="N36" i="1" s="1"/>
  <c r="D19" i="24"/>
  <c r="U24" i="24"/>
  <c r="N50" i="1" s="1"/>
  <c r="Q18" i="24"/>
  <c r="N38" i="1" s="1"/>
  <c r="P18" i="24"/>
  <c r="O18" i="24"/>
  <c r="N18" i="24"/>
  <c r="D18" i="24"/>
  <c r="U23" i="24"/>
  <c r="N49" i="1" s="1"/>
  <c r="D17" i="24"/>
  <c r="P16" i="24"/>
  <c r="O16" i="24"/>
  <c r="N27" i="1" s="1"/>
  <c r="N16" i="24"/>
  <c r="D16" i="24"/>
  <c r="D15" i="24"/>
  <c r="U14" i="24"/>
  <c r="N47" i="1" s="1"/>
  <c r="D14" i="24"/>
  <c r="U13" i="24"/>
  <c r="N46" i="1" s="1"/>
  <c r="P13" i="24"/>
  <c r="O13" i="24"/>
  <c r="N24" i="1" s="1"/>
  <c r="N13" i="24"/>
  <c r="D13" i="24"/>
  <c r="U12" i="24"/>
  <c r="N45" i="1" s="1"/>
  <c r="D12" i="24"/>
  <c r="U11" i="24"/>
  <c r="N44" i="1" s="1"/>
  <c r="P11" i="24"/>
  <c r="N18" i="1" s="1"/>
  <c r="O11" i="24"/>
  <c r="N17" i="1" s="1"/>
  <c r="N11" i="24"/>
  <c r="D11" i="24"/>
  <c r="U10" i="24"/>
  <c r="N43" i="1" s="1"/>
  <c r="H10" i="24"/>
  <c r="D10" i="24"/>
  <c r="U9" i="24"/>
  <c r="N42" i="1" s="1"/>
  <c r="P9" i="24"/>
  <c r="O9" i="24"/>
  <c r="N9" i="24"/>
  <c r="N11" i="1" s="1"/>
  <c r="U8" i="24"/>
  <c r="N41" i="1" s="1"/>
  <c r="P8" i="24"/>
  <c r="N7" i="1" s="1"/>
  <c r="O8" i="24"/>
  <c r="N8" i="24"/>
  <c r="N10" i="1" s="1"/>
  <c r="U7" i="24"/>
  <c r="N40" i="1" s="1"/>
  <c r="P7" i="24"/>
  <c r="O7" i="24"/>
  <c r="N6" i="1" s="1"/>
  <c r="N7" i="24"/>
  <c r="N9" i="1" s="1"/>
  <c r="N7" i="23"/>
  <c r="C9" i="1" s="1"/>
  <c r="O7" i="23"/>
  <c r="C6" i="1" s="1"/>
  <c r="U7" i="23"/>
  <c r="C40" i="1" s="1"/>
  <c r="N8" i="23"/>
  <c r="C10" i="1" s="1"/>
  <c r="O8" i="23"/>
  <c r="P8" i="23"/>
  <c r="C7" i="1" s="1"/>
  <c r="U8" i="23"/>
  <c r="C41" i="1" s="1"/>
  <c r="N9" i="23"/>
  <c r="C11" i="1" s="1"/>
  <c r="O9" i="23"/>
  <c r="P9" i="23"/>
  <c r="U9" i="23"/>
  <c r="C42" i="1" s="1"/>
  <c r="D10" i="23"/>
  <c r="H10" i="23"/>
  <c r="H11" i="23" s="1"/>
  <c r="H12" i="23" s="1"/>
  <c r="U10" i="23"/>
  <c r="C43" i="1" s="1"/>
  <c r="D11" i="23"/>
  <c r="N11" i="23"/>
  <c r="O11" i="23"/>
  <c r="C17" i="1" s="1"/>
  <c r="P11" i="23"/>
  <c r="C18" i="1" s="1"/>
  <c r="U11" i="23"/>
  <c r="C44" i="1" s="1"/>
  <c r="D12" i="23"/>
  <c r="U12" i="23"/>
  <c r="C45" i="1" s="1"/>
  <c r="D13" i="23"/>
  <c r="N13" i="23"/>
  <c r="O13" i="23"/>
  <c r="C24" i="1" s="1"/>
  <c r="P13" i="23"/>
  <c r="U13" i="23"/>
  <c r="C46" i="1" s="1"/>
  <c r="D14" i="23"/>
  <c r="U14" i="23"/>
  <c r="C47" i="1" s="1"/>
  <c r="D15" i="23"/>
  <c r="D16" i="23"/>
  <c r="N16" i="23"/>
  <c r="O16" i="23"/>
  <c r="C27" i="1" s="1"/>
  <c r="P16" i="23"/>
  <c r="D17" i="23"/>
  <c r="U23" i="23"/>
  <c r="C49" i="1" s="1"/>
  <c r="D18" i="23"/>
  <c r="N18" i="23"/>
  <c r="O18" i="23"/>
  <c r="P18" i="23"/>
  <c r="Q18" i="23"/>
  <c r="C38" i="1" s="1"/>
  <c r="U24" i="23"/>
  <c r="C50" i="1" s="1"/>
  <c r="D19" i="23"/>
  <c r="N19" i="23"/>
  <c r="C36" i="1" s="1"/>
  <c r="O19" i="23"/>
  <c r="C37" i="1" s="1"/>
  <c r="P19" i="23"/>
  <c r="U25" i="23"/>
  <c r="C51" i="1" s="1"/>
  <c r="B20" i="23"/>
  <c r="C20" i="23"/>
  <c r="E20" i="23"/>
  <c r="F20" i="23"/>
  <c r="G20" i="23"/>
  <c r="I20" i="23"/>
  <c r="J20" i="23"/>
  <c r="K20" i="23"/>
  <c r="U26" i="23"/>
  <c r="C52" i="1" s="1"/>
  <c r="D21" i="23"/>
  <c r="U27" i="23"/>
  <c r="C53" i="1" s="1"/>
  <c r="D22" i="23"/>
  <c r="U28" i="23"/>
  <c r="C54" i="1" s="1"/>
  <c r="D23" i="23"/>
  <c r="U29" i="23"/>
  <c r="C55" i="1" s="1"/>
  <c r="D24" i="23"/>
  <c r="D25" i="23"/>
  <c r="D26" i="23"/>
  <c r="U32" i="23"/>
  <c r="C62" i="1" s="1"/>
  <c r="D27" i="23"/>
  <c r="U33" i="23"/>
  <c r="C63" i="1" s="1"/>
  <c r="D28" i="23"/>
  <c r="U34" i="23"/>
  <c r="C64" i="1" s="1"/>
  <c r="D29" i="23"/>
  <c r="U35" i="23"/>
  <c r="C65" i="1" s="1"/>
  <c r="D30" i="23"/>
  <c r="U36" i="23"/>
  <c r="C66" i="1" s="1"/>
  <c r="B31" i="23"/>
  <c r="C31" i="23"/>
  <c r="E31" i="23"/>
  <c r="F31" i="23"/>
  <c r="G31" i="23"/>
  <c r="I31" i="23"/>
  <c r="J31" i="23"/>
  <c r="K31" i="23"/>
  <c r="U37" i="23"/>
  <c r="C67" i="1" s="1"/>
  <c r="D32" i="23"/>
  <c r="U38" i="23"/>
  <c r="C68" i="1" s="1"/>
  <c r="D33" i="23"/>
  <c r="U39" i="23"/>
  <c r="C69" i="1" s="1"/>
  <c r="D34" i="23"/>
  <c r="U40" i="23"/>
  <c r="C70" i="1" s="1"/>
  <c r="D35" i="23"/>
  <c r="U41" i="23"/>
  <c r="C71" i="1" s="1"/>
  <c r="D36" i="23"/>
  <c r="U42" i="23"/>
  <c r="C72" i="1" s="1"/>
  <c r="D37" i="23"/>
  <c r="D38" i="23"/>
  <c r="D39" i="23"/>
  <c r="D40" i="23"/>
  <c r="D41" i="23"/>
  <c r="D42" i="23"/>
  <c r="B43" i="23"/>
  <c r="C43" i="23"/>
  <c r="E43" i="23"/>
  <c r="F43" i="23"/>
  <c r="G43" i="23"/>
  <c r="I43" i="23"/>
  <c r="J43" i="23"/>
  <c r="K43" i="23"/>
  <c r="B44" i="23"/>
  <c r="C44" i="23"/>
  <c r="E44" i="23"/>
  <c r="F44" i="23"/>
  <c r="G44" i="23"/>
  <c r="I44" i="23"/>
  <c r="J44" i="23"/>
  <c r="K44" i="23"/>
  <c r="D31" i="26" l="1"/>
  <c r="D20" i="26"/>
  <c r="D44" i="26"/>
  <c r="D43" i="25"/>
  <c r="D20" i="29"/>
  <c r="Q14" i="31"/>
  <c r="D17" i="36" s="1"/>
  <c r="D13" i="36" s="1"/>
  <c r="F17" i="36"/>
  <c r="F13" i="36" s="1"/>
  <c r="F25" i="1"/>
  <c r="D44" i="23"/>
  <c r="D31" i="25"/>
  <c r="D31" i="28"/>
  <c r="D20" i="25"/>
  <c r="D44" i="28"/>
  <c r="D43" i="28"/>
  <c r="H25" i="1"/>
  <c r="H17" i="36"/>
  <c r="H13" i="36" s="1"/>
  <c r="D20" i="27"/>
  <c r="D43" i="29"/>
  <c r="D31" i="27"/>
  <c r="D31" i="29"/>
  <c r="D43" i="24"/>
  <c r="D20" i="23"/>
  <c r="D20" i="24"/>
  <c r="D31" i="24"/>
  <c r="D43" i="27"/>
  <c r="D44" i="29"/>
  <c r="H42" i="31"/>
  <c r="K25" i="1"/>
  <c r="K17" i="36"/>
  <c r="K13" i="36" s="1"/>
  <c r="D44" i="24"/>
  <c r="D44" i="27"/>
  <c r="D43" i="26"/>
  <c r="D20" i="28"/>
  <c r="D43" i="23"/>
  <c r="D31" i="23"/>
  <c r="H11" i="29"/>
  <c r="H12" i="29" s="1"/>
  <c r="H13" i="29" s="1"/>
  <c r="H14" i="29" s="1"/>
  <c r="H15" i="29" s="1"/>
  <c r="H16" i="29" s="1"/>
  <c r="H17" i="29" s="1"/>
  <c r="H18" i="29" s="1"/>
  <c r="H19" i="29" s="1"/>
  <c r="H21" i="29" s="1"/>
  <c r="H22" i="29" s="1"/>
  <c r="H23" i="29" s="1"/>
  <c r="H24" i="29" s="1"/>
  <c r="H25" i="29" s="1"/>
  <c r="H26" i="29" s="1"/>
  <c r="H27" i="29" s="1"/>
  <c r="H28" i="29" s="1"/>
  <c r="H29" i="29" s="1"/>
  <c r="H30" i="29" s="1"/>
  <c r="H20" i="28"/>
  <c r="H31" i="28"/>
  <c r="H32" i="28"/>
  <c r="H33" i="28" s="1"/>
  <c r="H34" i="28" s="1"/>
  <c r="H35" i="28" s="1"/>
  <c r="H36" i="28" s="1"/>
  <c r="H37" i="28" s="1"/>
  <c r="H38" i="28" s="1"/>
  <c r="H39" i="28" s="1"/>
  <c r="H40" i="28" s="1"/>
  <c r="H41" i="28" s="1"/>
  <c r="H42" i="28" s="1"/>
  <c r="H43" i="28" s="1"/>
  <c r="H31" i="27"/>
  <c r="H32" i="27"/>
  <c r="H33" i="27" s="1"/>
  <c r="H34" i="27" s="1"/>
  <c r="H35" i="27" s="1"/>
  <c r="H36" i="27" s="1"/>
  <c r="H37" i="27" s="1"/>
  <c r="H38" i="27" s="1"/>
  <c r="H39" i="27" s="1"/>
  <c r="H40" i="27" s="1"/>
  <c r="H41" i="27" s="1"/>
  <c r="H42" i="27" s="1"/>
  <c r="H43" i="27" s="1"/>
  <c r="H20" i="27"/>
  <c r="H31" i="26"/>
  <c r="H32" i="26"/>
  <c r="H33" i="26" s="1"/>
  <c r="H34" i="26" s="1"/>
  <c r="H35" i="26" s="1"/>
  <c r="H36" i="26" s="1"/>
  <c r="H37" i="26" s="1"/>
  <c r="H38" i="26" s="1"/>
  <c r="H39" i="26" s="1"/>
  <c r="H40" i="26" s="1"/>
  <c r="H41" i="26" s="1"/>
  <c r="H42" i="26" s="1"/>
  <c r="H43" i="26" s="1"/>
  <c r="H20" i="26"/>
  <c r="D44" i="25"/>
  <c r="H12" i="25"/>
  <c r="H13" i="25" s="1"/>
  <c r="H14" i="25" s="1"/>
  <c r="H15" i="25" s="1"/>
  <c r="H16" i="25" s="1"/>
  <c r="H17" i="25" s="1"/>
  <c r="H18" i="25" s="1"/>
  <c r="H19" i="25" s="1"/>
  <c r="H21" i="25" s="1"/>
  <c r="H22" i="25" s="1"/>
  <c r="H23" i="25" s="1"/>
  <c r="H24" i="25" s="1"/>
  <c r="H25" i="25" s="1"/>
  <c r="H26" i="25" s="1"/>
  <c r="H27" i="25" s="1"/>
  <c r="H28" i="25" s="1"/>
  <c r="H29" i="25" s="1"/>
  <c r="H30" i="25" s="1"/>
  <c r="H11" i="24"/>
  <c r="H12" i="24" s="1"/>
  <c r="H13" i="24" s="1"/>
  <c r="H14" i="24" s="1"/>
  <c r="H15" i="24" s="1"/>
  <c r="H16" i="24" s="1"/>
  <c r="H17" i="24" s="1"/>
  <c r="H18" i="24" s="1"/>
  <c r="H19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s="1"/>
  <c r="H13" i="23"/>
  <c r="P38" i="1"/>
  <c r="P63" i="1"/>
  <c r="O63" i="1"/>
  <c r="P69" i="1"/>
  <c r="P70" i="1"/>
  <c r="P71" i="1"/>
  <c r="P72" i="1"/>
  <c r="O69" i="1"/>
  <c r="O70" i="1"/>
  <c r="O71" i="1"/>
  <c r="O72" i="1"/>
  <c r="O36" i="1"/>
  <c r="P47" i="1"/>
  <c r="O47" i="1"/>
  <c r="O33" i="1"/>
  <c r="O34" i="1"/>
  <c r="O30" i="1"/>
  <c r="O31" i="1"/>
  <c r="O24" i="1"/>
  <c r="O18" i="1"/>
  <c r="O17" i="1"/>
  <c r="O22" i="1"/>
  <c r="O15" i="1"/>
  <c r="O11" i="1"/>
  <c r="P60" i="1"/>
  <c r="P59" i="1"/>
  <c r="P58" i="1"/>
  <c r="P57" i="1"/>
  <c r="O60" i="1"/>
  <c r="O59" i="1"/>
  <c r="O58" i="1"/>
  <c r="O57" i="1"/>
  <c r="O27" i="1"/>
  <c r="P74" i="1"/>
  <c r="P68" i="1"/>
  <c r="P67" i="1"/>
  <c r="P66" i="1"/>
  <c r="P65" i="1"/>
  <c r="P64" i="1"/>
  <c r="P62" i="1"/>
  <c r="P55" i="1"/>
  <c r="P54" i="1"/>
  <c r="P53" i="1"/>
  <c r="P52" i="1"/>
  <c r="P51" i="1"/>
  <c r="P50" i="1"/>
  <c r="P49" i="1"/>
  <c r="P46" i="1"/>
  <c r="P45" i="1"/>
  <c r="P44" i="1"/>
  <c r="P43" i="1"/>
  <c r="P42" i="1"/>
  <c r="P41" i="1"/>
  <c r="P40" i="1"/>
  <c r="O74" i="1"/>
  <c r="O68" i="1"/>
  <c r="O67" i="1"/>
  <c r="O66" i="1"/>
  <c r="O65" i="1"/>
  <c r="O64" i="1"/>
  <c r="O62" i="1"/>
  <c r="O55" i="1"/>
  <c r="O54" i="1"/>
  <c r="O53" i="1"/>
  <c r="O52" i="1"/>
  <c r="O51" i="1"/>
  <c r="O50" i="1"/>
  <c r="O49" i="1"/>
  <c r="O46" i="1"/>
  <c r="O45" i="1"/>
  <c r="O44" i="1"/>
  <c r="O43" i="1"/>
  <c r="O42" i="1"/>
  <c r="O41" i="1"/>
  <c r="O40" i="1"/>
  <c r="O38" i="1"/>
  <c r="O37" i="1"/>
  <c r="P28" i="1"/>
  <c r="O28" i="1"/>
  <c r="O21" i="1"/>
  <c r="O20" i="1"/>
  <c r="O14" i="1"/>
  <c r="O13" i="1"/>
  <c r="O10" i="1"/>
  <c r="O9" i="1"/>
  <c r="O7" i="1"/>
  <c r="O6" i="1"/>
  <c r="D25" i="1" l="1"/>
  <c r="H44" i="28"/>
  <c r="H31" i="29"/>
  <c r="H32" i="29"/>
  <c r="H33" i="29" s="1"/>
  <c r="H34" i="29" s="1"/>
  <c r="H35" i="29" s="1"/>
  <c r="H36" i="29" s="1"/>
  <c r="H37" i="29" s="1"/>
  <c r="H38" i="29" s="1"/>
  <c r="H39" i="29" s="1"/>
  <c r="H40" i="29" s="1"/>
  <c r="H41" i="29" s="1"/>
  <c r="H42" i="29" s="1"/>
  <c r="H43" i="29" s="1"/>
  <c r="H20" i="29"/>
  <c r="Q14" i="28"/>
  <c r="H44" i="27"/>
  <c r="Q14" i="27"/>
  <c r="H44" i="26"/>
  <c r="Q14" i="26"/>
  <c r="H31" i="25"/>
  <c r="H32" i="25"/>
  <c r="H33" i="25" s="1"/>
  <c r="H34" i="25" s="1"/>
  <c r="H35" i="25" s="1"/>
  <c r="H36" i="25" s="1"/>
  <c r="H37" i="25" s="1"/>
  <c r="H38" i="25" s="1"/>
  <c r="H39" i="25" s="1"/>
  <c r="H40" i="25" s="1"/>
  <c r="H41" i="25" s="1"/>
  <c r="H42" i="25" s="1"/>
  <c r="H43" i="25" s="1"/>
  <c r="H20" i="25"/>
  <c r="H31" i="24"/>
  <c r="H32" i="24"/>
  <c r="H33" i="24" s="1"/>
  <c r="H34" i="24" s="1"/>
  <c r="H35" i="24" s="1"/>
  <c r="H36" i="24" s="1"/>
  <c r="H37" i="24" s="1"/>
  <c r="H38" i="24" s="1"/>
  <c r="H39" i="24" s="1"/>
  <c r="H40" i="24" s="1"/>
  <c r="H41" i="24" s="1"/>
  <c r="H42" i="24" s="1"/>
  <c r="H43" i="24" s="1"/>
  <c r="H20" i="24"/>
  <c r="H14" i="23"/>
  <c r="G25" i="1" l="1"/>
  <c r="G17" i="36"/>
  <c r="G13" i="36" s="1"/>
  <c r="Q14" i="29"/>
  <c r="H44" i="29"/>
  <c r="L17" i="36"/>
  <c r="L13" i="36" s="1"/>
  <c r="L25" i="1"/>
  <c r="I25" i="1"/>
  <c r="I17" i="36"/>
  <c r="I13" i="36" s="1"/>
  <c r="Q14" i="25"/>
  <c r="H44" i="25"/>
  <c r="Q14" i="24"/>
  <c r="H44" i="24"/>
  <c r="H15" i="23"/>
  <c r="E25" i="1" l="1"/>
  <c r="E17" i="36"/>
  <c r="E13" i="36" s="1"/>
  <c r="N17" i="36"/>
  <c r="N13" i="36" s="1"/>
  <c r="N25" i="1"/>
  <c r="J17" i="36"/>
  <c r="J13" i="36" s="1"/>
  <c r="J25" i="1"/>
  <c r="H16" i="23"/>
  <c r="H17" i="23" l="1"/>
  <c r="H18" i="23" l="1"/>
  <c r="H19" i="23" l="1"/>
  <c r="H21" i="23" l="1"/>
  <c r="H22" i="23" s="1"/>
  <c r="H23" i="23" s="1"/>
  <c r="H24" i="23" s="1"/>
  <c r="H25" i="23" s="1"/>
  <c r="H26" i="23" s="1"/>
  <c r="H27" i="23" s="1"/>
  <c r="H28" i="23" s="1"/>
  <c r="H29" i="23" s="1"/>
  <c r="H30" i="23" s="1"/>
  <c r="H20" i="23"/>
  <c r="H32" i="23" l="1"/>
  <c r="H33" i="23" s="1"/>
  <c r="H34" i="23" s="1"/>
  <c r="H35" i="23" s="1"/>
  <c r="H36" i="23" s="1"/>
  <c r="H37" i="23" s="1"/>
  <c r="H38" i="23" s="1"/>
  <c r="H39" i="23" s="1"/>
  <c r="H40" i="23" s="1"/>
  <c r="H41" i="23" s="1"/>
  <c r="H42" i="23" s="1"/>
  <c r="H43" i="23" s="1"/>
  <c r="H31" i="23"/>
  <c r="Q14" i="23" l="1"/>
  <c r="H44" i="23"/>
  <c r="C25" i="1" l="1"/>
  <c r="C17" i="36"/>
  <c r="O25" i="1" l="1"/>
  <c r="P25" i="1"/>
  <c r="O17" i="36" s="1"/>
  <c r="O13" i="36" s="1"/>
</calcChain>
</file>

<file path=xl/sharedStrings.xml><?xml version="1.0" encoding="utf-8"?>
<sst xmlns="http://schemas.openxmlformats.org/spreadsheetml/2006/main" count="1486" uniqueCount="246">
  <si>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</si>
  <si>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</si>
  <si>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</si>
  <si>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</si>
  <si>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</si>
  <si>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</si>
  <si>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</si>
  <si>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</si>
  <si>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</si>
  <si>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</si>
  <si>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</si>
  <si>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</si>
  <si>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Tage mit Sonne</t>
  </si>
  <si>
    <t>Tage mit Regen</t>
  </si>
  <si>
    <t>Tage mit Gewitter</t>
  </si>
  <si>
    <t>Tage mit Unwetter</t>
  </si>
  <si>
    <t>Temperatur Max.</t>
  </si>
  <si>
    <t>Temperatur Min.</t>
  </si>
  <si>
    <t>Feuchte Max.</t>
  </si>
  <si>
    <t>Feuchte Min.</t>
  </si>
  <si>
    <t>Luftdruck Max.</t>
  </si>
  <si>
    <t>Luftdruck Min.</t>
  </si>
  <si>
    <t>Tage mit Hagel</t>
  </si>
  <si>
    <t>0                   0 - 0,7 km/h Windstille</t>
  </si>
  <si>
    <t>1                   0,7 - 5,4 km/h leiser Zug</t>
  </si>
  <si>
    <t>2                   5,5 - 11,9 km/h leichte Brise</t>
  </si>
  <si>
    <t>3                   12,0 - 19,4 km/h schwache Brise</t>
  </si>
  <si>
    <t>5                   28,6 - 38,7 km/h frische Brise</t>
  </si>
  <si>
    <t>4                   19,5 - 28,5 km/h mäßige Brise</t>
  </si>
  <si>
    <t>7                   49,9 - 61,7 km/h steifer Wind</t>
  </si>
  <si>
    <t>6                   38,8 - 49,8 km/h starker Wind</t>
  </si>
  <si>
    <t>8                   61,8 - 74,6 km/h stürmischer Wind</t>
  </si>
  <si>
    <t>9                   74,7 - 88,9 km/h Sturm</t>
  </si>
  <si>
    <t>10                 89,0 - 102,4 km/h schwerer Sturm</t>
  </si>
  <si>
    <t>11                 102,5 - 117,4 km/h orkanartiger Sturm</t>
  </si>
  <si>
    <t>12                 &gt;117,4 km/h Orkan</t>
  </si>
  <si>
    <t>Beaufort:        Windgeschwindigkeit: Bezeichnung:</t>
  </si>
  <si>
    <t>Niederschlag Monat</t>
  </si>
  <si>
    <t>Tage mit Nebel/Hochnebel</t>
  </si>
  <si>
    <t>Sonnenscheindauer Monat</t>
  </si>
  <si>
    <t>Schneehöhe Max.</t>
  </si>
  <si>
    <t>Erklärung</t>
  </si>
  <si>
    <t>Abkürzungen:</t>
  </si>
  <si>
    <t xml:space="preserve">     Quadratmeter)</t>
  </si>
  <si>
    <t xml:space="preserve">             wert</t>
  </si>
  <si>
    <t>Umrechnung Beaufort-Stundenkilometer:</t>
  </si>
  <si>
    <t>Worterklärung:</t>
  </si>
  <si>
    <t>anhand der Temperatur</t>
  </si>
  <si>
    <t>und des Windes</t>
  </si>
  <si>
    <t>berechnet)</t>
  </si>
  <si>
    <t>Tage mit Schneefall</t>
  </si>
  <si>
    <r>
      <t xml:space="preserve">Temperatur Max. </t>
    </r>
    <r>
      <rPr>
        <sz val="10"/>
        <rFont val="Arial"/>
        <family val="2"/>
      </rPr>
      <t>ø</t>
    </r>
  </si>
  <si>
    <t>Temperatur Min. ø</t>
  </si>
  <si>
    <t>Schneehöhe Tag ø</t>
  </si>
  <si>
    <t>Durchschnitte:</t>
  </si>
  <si>
    <t>Total:</t>
  </si>
  <si>
    <t>Sonnenscheindauer Max.</t>
  </si>
  <si>
    <t>Temperatur Mittel</t>
  </si>
  <si>
    <t>Feuchte Mittel</t>
  </si>
  <si>
    <t>Luftdruck Mittel</t>
  </si>
  <si>
    <t>eines Monats</t>
  </si>
  <si>
    <t>Tage mit Niederschlag</t>
  </si>
  <si>
    <t>Windböe Max.</t>
  </si>
  <si>
    <t>Windböe minimales Max.</t>
  </si>
  <si>
    <t>Niederschlag Tag Max.</t>
  </si>
  <si>
    <t>Solar Max.</t>
  </si>
  <si>
    <t>Solar Mittel</t>
  </si>
  <si>
    <t>UV-Index Max.</t>
  </si>
  <si>
    <t>UV-Index Mittel</t>
  </si>
  <si>
    <t xml:space="preserve"> von 0-200000lux=lux)</t>
  </si>
  <si>
    <t>W/m2 = Watt pro Quadratmeter</t>
  </si>
  <si>
    <t xml:space="preserve">klux = Kilolux (geht von 0-200klux oder </t>
  </si>
  <si>
    <t>mm = Millimeter (dasselbe wie Liter pro</t>
  </si>
  <si>
    <t>hPa = Hectopascal</t>
  </si>
  <si>
    <t>km/h = Stundenkilometer</t>
  </si>
  <si>
    <t>% = Prozent</t>
  </si>
  <si>
    <t>°C = Grad Celsius</t>
  </si>
  <si>
    <t>h = Stunde</t>
  </si>
  <si>
    <t>Anzahl Tage = Anzahl Tage im Monat</t>
  </si>
  <si>
    <t>cm = Zentimeter</t>
  </si>
  <si>
    <t>Max. = Maximum</t>
  </si>
  <si>
    <t>Min. = Minimum</t>
  </si>
  <si>
    <t>minimales Maximum = tiefster Maximal</t>
  </si>
  <si>
    <t>ø = Durchschnitt</t>
  </si>
  <si>
    <t xml:space="preserve">Windchill = gefühlte Temperatur (wird </t>
  </si>
  <si>
    <t>Mittel = berechnet aus allen Werten</t>
  </si>
  <si>
    <t>UV-Index = je höher er ist, desto höher</t>
  </si>
  <si>
    <t>ist die Sonnenbrandgefahr</t>
  </si>
  <si>
    <t>Niederschlagsrate = wie viel Nieder-</t>
  </si>
  <si>
    <t>schlag in einer Stunde</t>
  </si>
  <si>
    <t>hoch bei Wolkenbrüchen)</t>
  </si>
  <si>
    <t>zurzeit regnet (besonders</t>
  </si>
  <si>
    <t>fallen würde, wenn es</t>
  </si>
  <si>
    <t>genau gleich stark weiter-</t>
  </si>
  <si>
    <t>regnen würde, wie es</t>
  </si>
  <si>
    <t>T. oder t. = Tage</t>
  </si>
  <si>
    <t>Abweichung</t>
  </si>
  <si>
    <t>von Norm:</t>
  </si>
  <si>
    <t>Neuschneesumme</t>
  </si>
  <si>
    <t>Mass</t>
  </si>
  <si>
    <t>°C</t>
  </si>
  <si>
    <t>%</t>
  </si>
  <si>
    <t>km/h</t>
  </si>
  <si>
    <t>hPa</t>
  </si>
  <si>
    <t>mm</t>
  </si>
  <si>
    <t>h</t>
  </si>
  <si>
    <r>
      <t>W/m</t>
    </r>
    <r>
      <rPr>
        <vertAlign val="superscript"/>
        <sz val="10"/>
        <rFont val="Arial"/>
        <family val="2"/>
      </rPr>
      <t>2</t>
    </r>
  </si>
  <si>
    <r>
      <t>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/>
    </r>
  </si>
  <si>
    <t>cm</t>
  </si>
  <si>
    <t>T. Windböe Max. &gt;7 Beaufort</t>
  </si>
  <si>
    <t>T. Windböe Max. 7 Beaufort</t>
  </si>
  <si>
    <t>T. Windböe Max. 6 Beaufort</t>
  </si>
  <si>
    <t>T. Windböe Max. 5 Beaufort</t>
  </si>
  <si>
    <t>T. Windböe Max. 4 Beaufort</t>
  </si>
  <si>
    <t>T. Windböe Max. 3 Beaufort</t>
  </si>
  <si>
    <t>T. Windböe Max. &lt;3 Beaufort</t>
  </si>
  <si>
    <t>Tage Schnee &gt; 0 cm</t>
  </si>
  <si>
    <t>Tage Schnee &gt;= 1 cm</t>
  </si>
  <si>
    <t>Tage Schnee &gt;= 5 cm</t>
  </si>
  <si>
    <t>Tage Schnee &gt;= 10 cm</t>
  </si>
  <si>
    <t>Tage Schnee &gt;= 15 cm</t>
  </si>
  <si>
    <t>Tage Schnee &gt;= 20 cm</t>
  </si>
  <si>
    <t>Tage Schnee &gt;= 30 cm</t>
  </si>
  <si>
    <t>Tage Schnee &gt;= 40 cm</t>
  </si>
  <si>
    <t>Tage Schnee &gt;= 50 cm</t>
  </si>
  <si>
    <t>Tage Schnee &gt;= 75 cm</t>
  </si>
  <si>
    <t>Tage Schnee &gt;= 100 cm</t>
  </si>
  <si>
    <t>sehr kalte T. (Tmin.&lt;= -10 °C)</t>
  </si>
  <si>
    <t>Eistage (Tmax.&lt;= 0 °C)</t>
  </si>
  <si>
    <t>Frosttage (Tmin.&lt; 0 °C)</t>
  </si>
  <si>
    <t>Kalte Tage (Tmax.&lt; 10 °C)</t>
  </si>
  <si>
    <t>Warme T. (Tmax.&gt;= 20 °C)</t>
  </si>
  <si>
    <t>Sommert. (Tmax.&gt;= 25 °C)</t>
  </si>
  <si>
    <t>Hitzetage (Tmax.&gt;= 30 °C)</t>
  </si>
  <si>
    <t>Tropennächte (Tmin.&gt;= 20 °C)</t>
  </si>
  <si>
    <t>Windchill Min.</t>
  </si>
  <si>
    <t>Monat</t>
  </si>
  <si>
    <t>3.Dekade</t>
  </si>
  <si>
    <t>&gt;= 100 cm</t>
  </si>
  <si>
    <t>&gt;= 75 cm</t>
  </si>
  <si>
    <t>&gt;= 50 cm</t>
  </si>
  <si>
    <t>&gt;= 40 cm</t>
  </si>
  <si>
    <t>&gt;= 30 cm</t>
  </si>
  <si>
    <t>&gt;= 20 cm</t>
  </si>
  <si>
    <t>2. Dekade</t>
  </si>
  <si>
    <t>&gt;= 15 cm</t>
  </si>
  <si>
    <t>&gt;= 10 cm</t>
  </si>
  <si>
    <t>&gt;= 5 cm</t>
  </si>
  <si>
    <t>&gt;= 1 cm</t>
  </si>
  <si>
    <t>&gt; 0 cm</t>
  </si>
  <si>
    <t>Schnee-Tage:</t>
  </si>
  <si>
    <t>&lt;3 Beaufort</t>
  </si>
  <si>
    <t>3 Beaufort</t>
  </si>
  <si>
    <t>4 Beaufort</t>
  </si>
  <si>
    <t>5 Beaufort</t>
  </si>
  <si>
    <t>1. Dekade</t>
  </si>
  <si>
    <t>6 Beaufort</t>
  </si>
  <si>
    <t>Schneehöhe Total</t>
  </si>
  <si>
    <t>7 Beaufort</t>
  </si>
  <si>
    <t>Neuschnee 24h 06Z</t>
  </si>
  <si>
    <t>&gt;7 Beaufort</t>
  </si>
  <si>
    <t>Windböemaximum-Tage:</t>
  </si>
  <si>
    <t>Sonnenscheindauer</t>
  </si>
  <si>
    <t>Tmin &gt;= 20 °C</t>
  </si>
  <si>
    <t>Tropennächte</t>
  </si>
  <si>
    <t>Niederschlag im Monat</t>
  </si>
  <si>
    <t>Tmax &gt;= 30 °C</t>
  </si>
  <si>
    <t>Hitzetage</t>
  </si>
  <si>
    <t>Niederschlag Tag</t>
  </si>
  <si>
    <t>Tmax &gt;= 25 °C</t>
  </si>
  <si>
    <t>Sommertage</t>
  </si>
  <si>
    <t>Tmax &gt;= 20 °C</t>
  </si>
  <si>
    <t>Warme Tage</t>
  </si>
  <si>
    <t>Windböe Maximum</t>
  </si>
  <si>
    <t>Tmax &lt; 10 °C</t>
  </si>
  <si>
    <t>Kalte Tage</t>
  </si>
  <si>
    <t>Tmin &lt; 0 °C</t>
  </si>
  <si>
    <t>Frosttage</t>
  </si>
  <si>
    <t>Total</t>
  </si>
  <si>
    <t>24h</t>
  </si>
  <si>
    <t>Tag</t>
  </si>
  <si>
    <t>Max</t>
  </si>
  <si>
    <t>Mittel</t>
  </si>
  <si>
    <t>tude</t>
  </si>
  <si>
    <t>Tmax &lt;= 0 °C</t>
  </si>
  <si>
    <t>Eistage</t>
  </si>
  <si>
    <t>Temperatur Minimum</t>
  </si>
  <si>
    <t>06Z</t>
  </si>
  <si>
    <t>Böe</t>
  </si>
  <si>
    <t>Ampli-</t>
  </si>
  <si>
    <t>Tmin &lt;= -10 °C</t>
  </si>
  <si>
    <t>Sehr Kalte Tage</t>
  </si>
  <si>
    <t>Temperatur Maximum</t>
  </si>
  <si>
    <t>Neuschnee</t>
  </si>
  <si>
    <t>Min</t>
  </si>
  <si>
    <t>Abweichung:</t>
  </si>
  <si>
    <t>Temperatur-Tage:</t>
  </si>
  <si>
    <t>Abweichung der Norm:</t>
  </si>
  <si>
    <t>Minimum:</t>
  </si>
  <si>
    <t>Maximum:</t>
  </si>
  <si>
    <r>
      <t>Schneehöhe</t>
    </r>
    <r>
      <rPr>
        <sz val="9"/>
        <rFont val="Arial"/>
        <family val="2"/>
      </rPr>
      <t xml:space="preserve"> [cm]</t>
    </r>
  </si>
  <si>
    <r>
      <t>Sdauer</t>
    </r>
    <r>
      <rPr>
        <sz val="9"/>
        <rFont val="Arial"/>
        <family val="2"/>
      </rPr>
      <t xml:space="preserve"> [h]</t>
    </r>
  </si>
  <si>
    <r>
      <t>Niederschlag</t>
    </r>
    <r>
      <rPr>
        <sz val="9"/>
        <rFont val="Arial"/>
        <family val="2"/>
      </rPr>
      <t xml:space="preserve"> [</t>
    </r>
    <r>
      <rPr>
        <sz val="9"/>
        <rFont val="Arial"/>
        <family val="2"/>
      </rPr>
      <t>mm]</t>
    </r>
  </si>
  <si>
    <r>
      <t>Wind</t>
    </r>
    <r>
      <rPr>
        <sz val="9"/>
        <rFont val="Arial"/>
        <family val="2"/>
      </rPr>
      <t xml:space="preserve"> [km/h]</t>
    </r>
  </si>
  <si>
    <r>
      <t>Lufttemperatur</t>
    </r>
    <r>
      <rPr>
        <sz val="9"/>
        <rFont val="Arial"/>
        <family val="2"/>
      </rPr>
      <t xml:space="preserve"> [°C]</t>
    </r>
  </si>
  <si>
    <t>Monatsdiagramm Februar</t>
  </si>
  <si>
    <t>Monatsdiagramm März</t>
  </si>
  <si>
    <t>Monatsdiagramm April</t>
  </si>
  <si>
    <t>Monatsdiagramm Mai</t>
  </si>
  <si>
    <t>Monatsdiagramm Juni</t>
  </si>
  <si>
    <t>Monatsdiagramm Juli</t>
  </si>
  <si>
    <t>Monatsdiagramm August</t>
  </si>
  <si>
    <t>Monatsdiagramm September</t>
  </si>
  <si>
    <t>Monatsdiagramm Oktober</t>
  </si>
  <si>
    <t>Monatsdiagramm November</t>
  </si>
  <si>
    <t>Monatsdiagramm Dezember</t>
  </si>
  <si>
    <t xml:space="preserve">Januar </t>
  </si>
  <si>
    <t>Jahr</t>
  </si>
  <si>
    <t>Temperatur Maximum Ø</t>
  </si>
  <si>
    <t>Temperatur Minimum Ø</t>
  </si>
  <si>
    <t>Luftfeuchigkeit Mittel</t>
  </si>
  <si>
    <t>Niederschlag Monat %</t>
  </si>
  <si>
    <t>Normwert Niederschlag</t>
  </si>
  <si>
    <t>&gt;= 1 mm</t>
  </si>
  <si>
    <t>&gt;= 10 mm</t>
  </si>
  <si>
    <t>&gt;= 20 mm</t>
  </si>
  <si>
    <t>&gt;= 50 mm</t>
  </si>
  <si>
    <t>Tage Niederschlag &gt;= 1 mm</t>
  </si>
  <si>
    <t>Tage Niederschlag &gt;= 10 mm</t>
  </si>
  <si>
    <t>Tage Niederschlag &gt;= 20 mm</t>
  </si>
  <si>
    <t>Tage Niederschlag &gt;= 50 mm</t>
  </si>
  <si>
    <t>Niederschlags-Tage:</t>
  </si>
  <si>
    <r>
      <t>Wetterstation Oberthal</t>
    </r>
    <r>
      <rPr>
        <sz val="9"/>
        <rFont val="Arial"/>
        <family val="2"/>
      </rPr>
      <t xml:space="preserve"> (850 m ü. M.)</t>
    </r>
  </si>
  <si>
    <t>Monatsdiagramm Januar 2021</t>
  </si>
  <si>
    <t>Abend 38 cm, Nacht Regen</t>
  </si>
  <si>
    <t>Jahresdiagramm 2021</t>
  </si>
  <si>
    <t>18.2.: Daten Oberhünigen</t>
  </si>
  <si>
    <t>Abweichungen Jahr 2021</t>
  </si>
  <si>
    <t>2*</t>
  </si>
  <si>
    <t>* Schäumchen Schnee, Blasenflue ca. 5 cm</t>
  </si>
  <si>
    <t>Normwerte:</t>
  </si>
  <si>
    <t>1961-1990</t>
  </si>
  <si>
    <t>MeteoSchweiz Bern bzw. Grosshöchstetten (nur NS)</t>
  </si>
  <si>
    <r>
      <t xml:space="preserve">Normwerte: </t>
    </r>
    <r>
      <rPr>
        <b/>
        <sz val="10"/>
        <rFont val="Arial"/>
        <family val="2"/>
      </rPr>
      <t>1991 - 2020 Langnau</t>
    </r>
    <r>
      <rPr>
        <sz val="10"/>
        <rFont val="Arial"/>
        <family val="2"/>
      </rPr>
      <t xml:space="preserve"> (bis und mit 2020: Normwerte 1961 - 1990 Bern); Niederschlag: Grosshöchstetten</t>
    </r>
  </si>
  <si>
    <r>
      <rPr>
        <b/>
        <sz val="10"/>
        <rFont val="Arial"/>
        <family val="2"/>
      </rPr>
      <t>Normwerte:</t>
    </r>
    <r>
      <rPr>
        <sz val="10"/>
        <rFont val="Arial"/>
        <family val="2"/>
      </rPr>
      <t xml:space="preserve"> Neu Langnau 1991-2020, Niederschlag: Grosshöchstetten 1991-2020</t>
    </r>
  </si>
  <si>
    <t>Ab 2021 Vergleich mit Normwerten neue WMO-Referenzperiode 1991 - 2020 (statt 1961 - 1990), Langnau statt Bern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</si>
</sst>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mediumGray">
        <fgColor indexed="41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3" borderId="0" xfId="0" applyNumberFormat="1" applyFill="1"/>
    <xf numFmtId="0" fontId="6" fillId="4" borderId="0" xfId="0" applyFont="1" applyFill="1"/>
    <xf numFmtId="0" fontId="7" fillId="0" borderId="0" xfId="0" applyFont="1"/>
    <xf numFmtId="0" fontId="7" fillId="4" borderId="0" xfId="0" applyFont="1" applyFill="1"/>
    <xf numFmtId="164" fontId="0" fillId="0" borderId="0" xfId="0" applyNumberFormat="1" applyFill="1"/>
    <xf numFmtId="164" fontId="9" fillId="5" borderId="0" xfId="0" applyNumberFormat="1" applyFont="1" applyFill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164" fontId="11" fillId="7" borderId="5" xfId="0" applyNumberFormat="1" applyFont="1" applyFill="1" applyBorder="1" applyAlignment="1">
      <alignment horizontal="center"/>
    </xf>
    <xf numFmtId="2" fontId="11" fillId="7" borderId="6" xfId="0" applyNumberFormat="1" applyFont="1" applyFill="1" applyBorder="1" applyAlignment="1">
      <alignment horizontal="center"/>
    </xf>
    <xf numFmtId="164" fontId="11" fillId="7" borderId="7" xfId="0" applyNumberFormat="1" applyFont="1" applyFill="1" applyBorder="1" applyAlignment="1">
      <alignment horizontal="center"/>
    </xf>
    <xf numFmtId="164" fontId="11" fillId="7" borderId="6" xfId="0" applyNumberFormat="1" applyFont="1" applyFill="1" applyBorder="1" applyAlignment="1">
      <alignment horizontal="center"/>
    </xf>
    <xf numFmtId="164" fontId="11" fillId="7" borderId="8" xfId="0" applyNumberFormat="1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2" fontId="11" fillId="6" borderId="10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8" borderId="0" xfId="0" applyFont="1" applyFill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0" borderId="0" xfId="0" applyFont="1"/>
    <xf numFmtId="0" fontId="12" fillId="9" borderId="0" xfId="0" applyFont="1" applyFill="1"/>
    <xf numFmtId="0" fontId="12" fillId="4" borderId="0" xfId="0" applyFont="1" applyFill="1"/>
    <xf numFmtId="0" fontId="11" fillId="10" borderId="0" xfId="0" applyFont="1" applyFill="1"/>
    <xf numFmtId="0" fontId="11" fillId="2" borderId="0" xfId="0" applyFont="1" applyFill="1"/>
    <xf numFmtId="0" fontId="11" fillId="5" borderId="0" xfId="0" applyFont="1" applyFill="1"/>
    <xf numFmtId="0" fontId="11" fillId="11" borderId="0" xfId="0" applyFont="1" applyFill="1"/>
    <xf numFmtId="164" fontId="11" fillId="7" borderId="9" xfId="0" applyNumberFormat="1" applyFont="1" applyFill="1" applyBorder="1" applyAlignment="1">
      <alignment horizontal="center"/>
    </xf>
    <xf numFmtId="0" fontId="11" fillId="3" borderId="0" xfId="0" applyFont="1" applyFill="1"/>
    <xf numFmtId="0" fontId="11" fillId="12" borderId="0" xfId="0" applyFont="1" applyFill="1"/>
    <xf numFmtId="0" fontId="11" fillId="13" borderId="0" xfId="0" applyFont="1" applyFill="1"/>
    <xf numFmtId="0" fontId="11" fillId="14" borderId="0" xfId="0" applyFont="1" applyFill="1"/>
    <xf numFmtId="0" fontId="11" fillId="15" borderId="0" xfId="0" applyFont="1" applyFill="1"/>
    <xf numFmtId="0" fontId="13" fillId="0" borderId="0" xfId="0" applyFont="1"/>
    <xf numFmtId="0" fontId="11" fillId="16" borderId="0" xfId="0" applyFont="1" applyFill="1"/>
    <xf numFmtId="0" fontId="11" fillId="17" borderId="0" xfId="0" applyFont="1" applyFill="1"/>
    <xf numFmtId="0" fontId="11" fillId="18" borderId="0" xfId="0" applyFont="1" applyFill="1"/>
    <xf numFmtId="164" fontId="11" fillId="3" borderId="7" xfId="0" applyNumberFormat="1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164" fontId="11" fillId="3" borderId="6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0" fontId="11" fillId="19" borderId="9" xfId="0" applyFont="1" applyFill="1" applyBorder="1" applyAlignment="1">
      <alignment horizontal="center"/>
    </xf>
    <xf numFmtId="0" fontId="11" fillId="20" borderId="0" xfId="0" applyFont="1" applyFill="1"/>
    <xf numFmtId="0" fontId="11" fillId="21" borderId="0" xfId="0" applyFont="1" applyFill="1"/>
    <xf numFmtId="2" fontId="11" fillId="15" borderId="0" xfId="0" applyNumberFormat="1" applyFont="1" applyFill="1"/>
    <xf numFmtId="164" fontId="9" fillId="3" borderId="0" xfId="0" applyNumberFormat="1" applyFont="1" applyFill="1" applyAlignment="1">
      <alignment horizontal="right"/>
    </xf>
    <xf numFmtId="0" fontId="11" fillId="22" borderId="0" xfId="0" applyFont="1" applyFill="1"/>
    <xf numFmtId="0" fontId="12" fillId="0" borderId="0" xfId="0" applyFont="1"/>
    <xf numFmtId="2" fontId="11" fillId="2" borderId="0" xfId="0" applyNumberFormat="1" applyFont="1" applyFill="1"/>
    <xf numFmtId="2" fontId="11" fillId="21" borderId="0" xfId="0" applyNumberFormat="1" applyFont="1" applyFill="1"/>
    <xf numFmtId="0" fontId="1" fillId="0" borderId="0" xfId="0" applyFont="1" applyAlignment="1">
      <alignment horizontal="right"/>
    </xf>
    <xf numFmtId="2" fontId="11" fillId="0" borderId="0" xfId="0" applyNumberFormat="1" applyFont="1"/>
    <xf numFmtId="0" fontId="11" fillId="8" borderId="5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17" fontId="13" fillId="0" borderId="12" xfId="0" applyNumberFormat="1" applyFont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0" xfId="0" applyFont="1" applyFill="1"/>
    <xf numFmtId="0" fontId="11" fillId="8" borderId="3" xfId="0" applyFont="1" applyFill="1" applyBorder="1"/>
    <xf numFmtId="0" fontId="14" fillId="4" borderId="0" xfId="0" applyFont="1" applyFill="1"/>
    <xf numFmtId="0" fontId="13" fillId="3" borderId="0" xfId="0" applyFont="1" applyFill="1"/>
    <xf numFmtId="0" fontId="13" fillId="2" borderId="0" xfId="0" applyFont="1" applyFill="1"/>
    <xf numFmtId="0" fontId="13" fillId="21" borderId="0" xfId="0" applyFont="1" applyFill="1"/>
    <xf numFmtId="16" fontId="13" fillId="15" borderId="0" xfId="0" applyNumberFormat="1" applyFont="1" applyFill="1"/>
    <xf numFmtId="0" fontId="13" fillId="3" borderId="1" xfId="0" applyFont="1" applyFill="1" applyBorder="1" applyAlignment="1">
      <alignment horizontal="center"/>
    </xf>
    <xf numFmtId="0" fontId="11" fillId="6" borderId="0" xfId="0" applyFont="1" applyFill="1"/>
    <xf numFmtId="2" fontId="9" fillId="5" borderId="4" xfId="0" applyNumberFormat="1" applyFont="1" applyFill="1" applyBorder="1" applyAlignment="1">
      <alignment horizontal="center"/>
    </xf>
    <xf numFmtId="164" fontId="9" fillId="5" borderId="4" xfId="0" applyNumberFormat="1" applyFont="1" applyFill="1" applyBorder="1" applyAlignment="1">
      <alignment horizontal="center"/>
    </xf>
    <xf numFmtId="0" fontId="16" fillId="0" borderId="0" xfId="0" applyFont="1"/>
    <xf numFmtId="164" fontId="0" fillId="0" borderId="0" xfId="0" applyNumberFormat="1"/>
    <xf numFmtId="2" fontId="0" fillId="0" borderId="0" xfId="0" applyNumberFormat="1"/>
    <xf numFmtId="0" fontId="11" fillId="24" borderId="0" xfId="0" applyFont="1" applyFill="1"/>
    <xf numFmtId="0" fontId="11" fillId="25" borderId="0" xfId="0" applyFont="1" applyFill="1"/>
    <xf numFmtId="0" fontId="11" fillId="26" borderId="0" xfId="0" applyFont="1" applyFill="1"/>
    <xf numFmtId="0" fontId="17" fillId="23" borderId="0" xfId="0" applyFont="1" applyFill="1"/>
    <xf numFmtId="0" fontId="18" fillId="0" borderId="0" xfId="0" applyFont="1"/>
    <xf numFmtId="0" fontId="15" fillId="0" borderId="0" xfId="0" applyFont="1"/>
    <xf numFmtId="0" fontId="12" fillId="0" borderId="0" xfId="0" applyFont="1" applyFill="1"/>
    <xf numFmtId="164" fontId="3" fillId="3" borderId="0" xfId="0" applyNumberFormat="1" applyFont="1" applyFill="1"/>
    <xf numFmtId="164" fontId="3" fillId="2" borderId="0" xfId="0" applyNumberFormat="1" applyFont="1" applyFill="1"/>
    <xf numFmtId="164" fontId="0" fillId="2" borderId="0" xfId="0" applyNumberFormat="1" applyFill="1"/>
    <xf numFmtId="2" fontId="11" fillId="3" borderId="0" xfId="0" applyNumberFormat="1" applyFont="1" applyFill="1" applyAlignment="1">
      <alignment horizontal="right"/>
    </xf>
    <xf numFmtId="0" fontId="0" fillId="27" borderId="0" xfId="0" applyFill="1"/>
    <xf numFmtId="0" fontId="5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11" fillId="8" borderId="0" xfId="0" applyFont="1" applyFill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3" borderId="3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CCFF"/>
      <color rgb="FF33CCCC"/>
      <color rgb="FF00FFFF"/>
      <color rgb="FFCCFFFF"/>
      <color rgb="FF33CCFF"/>
      <color rgb="FF8DB4E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(Jan!$B$10:$B$19,Jan!$B$21:$B$30,Jan!$B$32:$B$42)</c:f>
              <c:numCache>
                <c:formatCode>General</c:formatCode>
                <c:ptCount val="31"/>
                <c:pt idx="0">
                  <c:v>-0.5</c:v>
                </c:pt>
                <c:pt idx="1">
                  <c:v>-1.6</c:v>
                </c:pt>
                <c:pt idx="2">
                  <c:v>-2.2000000000000002</c:v>
                </c:pt>
                <c:pt idx="3">
                  <c:v>-3.1</c:v>
                </c:pt>
                <c:pt idx="4">
                  <c:v>-2.8</c:v>
                </c:pt>
                <c:pt idx="5">
                  <c:v>-3.1</c:v>
                </c:pt>
                <c:pt idx="6">
                  <c:v>-2.2999999999999998</c:v>
                </c:pt>
                <c:pt idx="7">
                  <c:v>-2.1</c:v>
                </c:pt>
                <c:pt idx="8">
                  <c:v>-3.7</c:v>
                </c:pt>
                <c:pt idx="9">
                  <c:v>-4.7</c:v>
                </c:pt>
                <c:pt idx="10">
                  <c:v>-5.0999999999999996</c:v>
                </c:pt>
                <c:pt idx="11">
                  <c:v>0.3</c:v>
                </c:pt>
                <c:pt idx="12">
                  <c:v>2</c:v>
                </c:pt>
                <c:pt idx="13">
                  <c:v>2.4</c:v>
                </c:pt>
                <c:pt idx="14">
                  <c:v>1.6</c:v>
                </c:pt>
                <c:pt idx="15">
                  <c:v>-3.6</c:v>
                </c:pt>
                <c:pt idx="16">
                  <c:v>-0.3</c:v>
                </c:pt>
                <c:pt idx="17">
                  <c:v>0.6</c:v>
                </c:pt>
                <c:pt idx="18">
                  <c:v>1.9</c:v>
                </c:pt>
                <c:pt idx="19">
                  <c:v>3.9</c:v>
                </c:pt>
                <c:pt idx="20">
                  <c:v>5.8</c:v>
                </c:pt>
                <c:pt idx="21">
                  <c:v>6.3</c:v>
                </c:pt>
                <c:pt idx="22">
                  <c:v>0.1</c:v>
                </c:pt>
                <c:pt idx="23">
                  <c:v>-0.2</c:v>
                </c:pt>
                <c:pt idx="24">
                  <c:v>-2.1</c:v>
                </c:pt>
                <c:pt idx="25">
                  <c:v>-1.3</c:v>
                </c:pt>
                <c:pt idx="26">
                  <c:v>0.6</c:v>
                </c:pt>
                <c:pt idx="27">
                  <c:v>6.8</c:v>
                </c:pt>
                <c:pt idx="28">
                  <c:v>6.8</c:v>
                </c:pt>
                <c:pt idx="29">
                  <c:v>3.7</c:v>
                </c:pt>
                <c:pt idx="30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F4-4C01-8195-4526CF12E1E1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(Jan!$C$10:$C$19,Jan!$C$21:$C$30,Jan!$C$32:$C$42)</c:f>
              <c:numCache>
                <c:formatCode>General</c:formatCode>
                <c:ptCount val="31"/>
                <c:pt idx="0">
                  <c:v>-1.8</c:v>
                </c:pt>
                <c:pt idx="1">
                  <c:v>-3.2</c:v>
                </c:pt>
                <c:pt idx="2">
                  <c:v>-5.0999999999999996</c:v>
                </c:pt>
                <c:pt idx="3">
                  <c:v>-6.1</c:v>
                </c:pt>
                <c:pt idx="4">
                  <c:v>-4.5</c:v>
                </c:pt>
                <c:pt idx="5">
                  <c:v>-5.8</c:v>
                </c:pt>
                <c:pt idx="6">
                  <c:v>-5</c:v>
                </c:pt>
                <c:pt idx="7">
                  <c:v>-6.4</c:v>
                </c:pt>
                <c:pt idx="8">
                  <c:v>-7.6</c:v>
                </c:pt>
                <c:pt idx="9">
                  <c:v>-8.1999999999999993</c:v>
                </c:pt>
                <c:pt idx="10">
                  <c:v>-8.6</c:v>
                </c:pt>
                <c:pt idx="11">
                  <c:v>-8.4</c:v>
                </c:pt>
                <c:pt idx="12">
                  <c:v>-0.5</c:v>
                </c:pt>
                <c:pt idx="13">
                  <c:v>0.9</c:v>
                </c:pt>
                <c:pt idx="14">
                  <c:v>-7.6</c:v>
                </c:pt>
                <c:pt idx="15">
                  <c:v>-6.4</c:v>
                </c:pt>
                <c:pt idx="16">
                  <c:v>-4.7</c:v>
                </c:pt>
                <c:pt idx="17">
                  <c:v>-4.2</c:v>
                </c:pt>
                <c:pt idx="18">
                  <c:v>-6.3</c:v>
                </c:pt>
                <c:pt idx="19">
                  <c:v>-2</c:v>
                </c:pt>
                <c:pt idx="20">
                  <c:v>1.1000000000000001</c:v>
                </c:pt>
                <c:pt idx="21">
                  <c:v>-1.2</c:v>
                </c:pt>
                <c:pt idx="22">
                  <c:v>-2.7</c:v>
                </c:pt>
                <c:pt idx="23">
                  <c:v>-3.9</c:v>
                </c:pt>
                <c:pt idx="24">
                  <c:v>-4.3</c:v>
                </c:pt>
                <c:pt idx="25">
                  <c:v>-5.6</c:v>
                </c:pt>
                <c:pt idx="26">
                  <c:v>-7</c:v>
                </c:pt>
                <c:pt idx="27">
                  <c:v>0.6</c:v>
                </c:pt>
                <c:pt idx="28">
                  <c:v>2.7</c:v>
                </c:pt>
                <c:pt idx="29">
                  <c:v>1.8</c:v>
                </c:pt>
                <c:pt idx="30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4-4C01-8195-4526CF12E1E1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(Jan!$E$10:$E$19,Jan!$E$21:$E$30,Jan!$E$32:$E$42)</c:f>
              <c:numCache>
                <c:formatCode>General</c:formatCode>
                <c:ptCount val="31"/>
                <c:pt idx="0">
                  <c:v>-1.24</c:v>
                </c:pt>
                <c:pt idx="1">
                  <c:v>-2.1800000000000002</c:v>
                </c:pt>
                <c:pt idx="2">
                  <c:v>-3.28</c:v>
                </c:pt>
                <c:pt idx="3">
                  <c:v>-4.41</c:v>
                </c:pt>
                <c:pt idx="4">
                  <c:v>-3.78</c:v>
                </c:pt>
                <c:pt idx="5">
                  <c:v>-4.24</c:v>
                </c:pt>
                <c:pt idx="6">
                  <c:v>-3.89</c:v>
                </c:pt>
                <c:pt idx="7">
                  <c:v>-4.42</c:v>
                </c:pt>
                <c:pt idx="8">
                  <c:v>-5.55</c:v>
                </c:pt>
                <c:pt idx="9">
                  <c:v>-6.24</c:v>
                </c:pt>
                <c:pt idx="10">
                  <c:v>-7.27</c:v>
                </c:pt>
                <c:pt idx="11">
                  <c:v>-3.06</c:v>
                </c:pt>
                <c:pt idx="12">
                  <c:v>0.62</c:v>
                </c:pt>
                <c:pt idx="13">
                  <c:v>1.75</c:v>
                </c:pt>
                <c:pt idx="14">
                  <c:v>-1.75</c:v>
                </c:pt>
                <c:pt idx="15">
                  <c:v>-5.42</c:v>
                </c:pt>
                <c:pt idx="16">
                  <c:v>-1.49</c:v>
                </c:pt>
                <c:pt idx="17">
                  <c:v>-1.83</c:v>
                </c:pt>
                <c:pt idx="18">
                  <c:v>-2.79</c:v>
                </c:pt>
                <c:pt idx="19">
                  <c:v>0.85</c:v>
                </c:pt>
                <c:pt idx="20">
                  <c:v>3.76</c:v>
                </c:pt>
                <c:pt idx="21">
                  <c:v>3.66</c:v>
                </c:pt>
                <c:pt idx="22">
                  <c:v>-1.29</c:v>
                </c:pt>
                <c:pt idx="23">
                  <c:v>-2.1800000000000002</c:v>
                </c:pt>
                <c:pt idx="24">
                  <c:v>-3.02</c:v>
                </c:pt>
                <c:pt idx="25">
                  <c:v>-3.99</c:v>
                </c:pt>
                <c:pt idx="26">
                  <c:v>-2.5499999999999998</c:v>
                </c:pt>
                <c:pt idx="27">
                  <c:v>3.9</c:v>
                </c:pt>
                <c:pt idx="28">
                  <c:v>4.5199999999999996</c:v>
                </c:pt>
                <c:pt idx="29">
                  <c:v>2.74</c:v>
                </c:pt>
                <c:pt idx="30">
                  <c:v>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4-4C01-8195-4526CF12E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54047"/>
        <c:axId val="1"/>
      </c:lineChart>
      <c:catAx>
        <c:axId val="94975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(Feb!$I$10:$I$19,Feb!$I$21:$I$30,Feb!$I$32:$I$40)</c:f>
              <c:numCache>
                <c:formatCode>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4.62</c:v>
                </c:pt>
                <c:pt idx="8">
                  <c:v>1.75</c:v>
                </c:pt>
                <c:pt idx="9">
                  <c:v>0.22</c:v>
                </c:pt>
                <c:pt idx="10">
                  <c:v>0.12</c:v>
                </c:pt>
                <c:pt idx="11">
                  <c:v>2.27</c:v>
                </c:pt>
                <c:pt idx="12">
                  <c:v>2.33</c:v>
                </c:pt>
                <c:pt idx="13">
                  <c:v>6</c:v>
                </c:pt>
                <c:pt idx="14">
                  <c:v>3.58</c:v>
                </c:pt>
                <c:pt idx="15">
                  <c:v>5.38</c:v>
                </c:pt>
                <c:pt idx="16">
                  <c:v>4.63</c:v>
                </c:pt>
                <c:pt idx="17">
                  <c:v>2.08</c:v>
                </c:pt>
                <c:pt idx="18">
                  <c:v>1.05</c:v>
                </c:pt>
                <c:pt idx="19">
                  <c:v>7.7</c:v>
                </c:pt>
                <c:pt idx="20">
                  <c:v>7.73</c:v>
                </c:pt>
                <c:pt idx="21">
                  <c:v>5.42</c:v>
                </c:pt>
                <c:pt idx="22">
                  <c:v>7.32</c:v>
                </c:pt>
                <c:pt idx="23">
                  <c:v>7.68</c:v>
                </c:pt>
                <c:pt idx="24">
                  <c:v>7.98</c:v>
                </c:pt>
                <c:pt idx="25">
                  <c:v>4.8499999999999996</c:v>
                </c:pt>
                <c:pt idx="26">
                  <c:v>0</c:v>
                </c:pt>
                <c:pt idx="27">
                  <c:v>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5-4381-9289-D40C8D864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245583"/>
        <c:axId val="1"/>
      </c:barChart>
      <c:catAx>
        <c:axId val="1402245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224558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(Mrz!$B$10:$B$19,Mrz!$B$21:$B$30,Mrz!$B$32:$B$42)</c:f>
              <c:numCache>
                <c:formatCode>General</c:formatCode>
                <c:ptCount val="31"/>
                <c:pt idx="0">
                  <c:v>10.3</c:v>
                </c:pt>
                <c:pt idx="1">
                  <c:v>14.1</c:v>
                </c:pt>
                <c:pt idx="2">
                  <c:v>8.9</c:v>
                </c:pt>
                <c:pt idx="3">
                  <c:v>10</c:v>
                </c:pt>
                <c:pt idx="4">
                  <c:v>4.0999999999999996</c:v>
                </c:pt>
                <c:pt idx="5">
                  <c:v>2.7</c:v>
                </c:pt>
                <c:pt idx="6">
                  <c:v>7.9</c:v>
                </c:pt>
                <c:pt idx="7">
                  <c:v>6.4</c:v>
                </c:pt>
                <c:pt idx="8">
                  <c:v>5.0999999999999996</c:v>
                </c:pt>
                <c:pt idx="9">
                  <c:v>7.4</c:v>
                </c:pt>
                <c:pt idx="10">
                  <c:v>12.4</c:v>
                </c:pt>
                <c:pt idx="11">
                  <c:v>7.6</c:v>
                </c:pt>
                <c:pt idx="12">
                  <c:v>9.1999999999999993</c:v>
                </c:pt>
                <c:pt idx="13">
                  <c:v>1.7</c:v>
                </c:pt>
                <c:pt idx="14">
                  <c:v>1.3</c:v>
                </c:pt>
                <c:pt idx="15">
                  <c:v>0.7</c:v>
                </c:pt>
                <c:pt idx="16">
                  <c:v>1.4</c:v>
                </c:pt>
                <c:pt idx="17">
                  <c:v>0.7</c:v>
                </c:pt>
                <c:pt idx="18">
                  <c:v>1.9</c:v>
                </c:pt>
                <c:pt idx="19">
                  <c:v>-0.1</c:v>
                </c:pt>
                <c:pt idx="20">
                  <c:v>1.6</c:v>
                </c:pt>
                <c:pt idx="21">
                  <c:v>2.7</c:v>
                </c:pt>
                <c:pt idx="22">
                  <c:v>6.3</c:v>
                </c:pt>
                <c:pt idx="23">
                  <c:v>11.7</c:v>
                </c:pt>
                <c:pt idx="24">
                  <c:v>12.1</c:v>
                </c:pt>
                <c:pt idx="25">
                  <c:v>13.5</c:v>
                </c:pt>
                <c:pt idx="26">
                  <c:v>8.6999999999999993</c:v>
                </c:pt>
                <c:pt idx="27">
                  <c:v>12.4</c:v>
                </c:pt>
                <c:pt idx="28">
                  <c:v>16.5</c:v>
                </c:pt>
                <c:pt idx="29">
                  <c:v>18.899999999999999</c:v>
                </c:pt>
                <c:pt idx="30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3-4505-BBE5-20E1DC862B10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(Mrz!$C$10:$C$19,Mrz!$C$21:$C$30,Mrz!$C$32:$C$42)</c:f>
              <c:numCache>
                <c:formatCode>General</c:formatCode>
                <c:ptCount val="31"/>
                <c:pt idx="0">
                  <c:v>-1.3</c:v>
                </c:pt>
                <c:pt idx="1">
                  <c:v>1.1000000000000001</c:v>
                </c:pt>
                <c:pt idx="2">
                  <c:v>4.5999999999999996</c:v>
                </c:pt>
                <c:pt idx="3">
                  <c:v>3.5</c:v>
                </c:pt>
                <c:pt idx="4">
                  <c:v>-0.2</c:v>
                </c:pt>
                <c:pt idx="5">
                  <c:v>-2.2000000000000002</c:v>
                </c:pt>
                <c:pt idx="6">
                  <c:v>-2.1</c:v>
                </c:pt>
                <c:pt idx="7">
                  <c:v>1.2</c:v>
                </c:pt>
                <c:pt idx="8">
                  <c:v>-1.6</c:v>
                </c:pt>
                <c:pt idx="9">
                  <c:v>-1.5</c:v>
                </c:pt>
                <c:pt idx="10">
                  <c:v>3.3</c:v>
                </c:pt>
                <c:pt idx="11">
                  <c:v>1.6</c:v>
                </c:pt>
                <c:pt idx="12">
                  <c:v>1.3</c:v>
                </c:pt>
                <c:pt idx="13">
                  <c:v>-1.7</c:v>
                </c:pt>
                <c:pt idx="14">
                  <c:v>-1.2</c:v>
                </c:pt>
                <c:pt idx="15">
                  <c:v>-2.2000000000000002</c:v>
                </c:pt>
                <c:pt idx="16">
                  <c:v>-2</c:v>
                </c:pt>
                <c:pt idx="17">
                  <c:v>-4.7</c:v>
                </c:pt>
                <c:pt idx="18">
                  <c:v>-6.5</c:v>
                </c:pt>
                <c:pt idx="19">
                  <c:v>-5.2</c:v>
                </c:pt>
                <c:pt idx="20">
                  <c:v>-5.7</c:v>
                </c:pt>
                <c:pt idx="21">
                  <c:v>-1.8</c:v>
                </c:pt>
                <c:pt idx="22">
                  <c:v>-4.0999999999999996</c:v>
                </c:pt>
                <c:pt idx="23">
                  <c:v>-0.6</c:v>
                </c:pt>
                <c:pt idx="24">
                  <c:v>2.9</c:v>
                </c:pt>
                <c:pt idx="25">
                  <c:v>1.9</c:v>
                </c:pt>
                <c:pt idx="26">
                  <c:v>1.3</c:v>
                </c:pt>
                <c:pt idx="27">
                  <c:v>-0.3</c:v>
                </c:pt>
                <c:pt idx="28">
                  <c:v>4.3</c:v>
                </c:pt>
                <c:pt idx="29">
                  <c:v>6.5</c:v>
                </c:pt>
                <c:pt idx="30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3-4505-BBE5-20E1DC862B10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(Mrz!$E$10:$E$19,Mrz!$E$21:$E$30,Mrz!$E$32:$E$42)</c:f>
              <c:numCache>
                <c:formatCode>General</c:formatCode>
                <c:ptCount val="31"/>
                <c:pt idx="0">
                  <c:v>3.7</c:v>
                </c:pt>
                <c:pt idx="1">
                  <c:v>6.6</c:v>
                </c:pt>
                <c:pt idx="2">
                  <c:v>6.3</c:v>
                </c:pt>
                <c:pt idx="3">
                  <c:v>6.2</c:v>
                </c:pt>
                <c:pt idx="4">
                  <c:v>2.5</c:v>
                </c:pt>
                <c:pt idx="5">
                  <c:v>0.1</c:v>
                </c:pt>
                <c:pt idx="6">
                  <c:v>2.6</c:v>
                </c:pt>
                <c:pt idx="7">
                  <c:v>3.4</c:v>
                </c:pt>
                <c:pt idx="8">
                  <c:v>1.4</c:v>
                </c:pt>
                <c:pt idx="9">
                  <c:v>2.8</c:v>
                </c:pt>
                <c:pt idx="10">
                  <c:v>8.4</c:v>
                </c:pt>
                <c:pt idx="11">
                  <c:v>4.4000000000000004</c:v>
                </c:pt>
                <c:pt idx="12">
                  <c:v>4.8</c:v>
                </c:pt>
                <c:pt idx="13">
                  <c:v>-0.6</c:v>
                </c:pt>
                <c:pt idx="14">
                  <c:v>-0.1</c:v>
                </c:pt>
                <c:pt idx="15">
                  <c:v>-0.7</c:v>
                </c:pt>
                <c:pt idx="16">
                  <c:v>-0.8</c:v>
                </c:pt>
                <c:pt idx="17">
                  <c:v>-2.1</c:v>
                </c:pt>
                <c:pt idx="18">
                  <c:v>-2.2999999999999998</c:v>
                </c:pt>
                <c:pt idx="19">
                  <c:v>-3</c:v>
                </c:pt>
                <c:pt idx="20">
                  <c:v>-1.5</c:v>
                </c:pt>
                <c:pt idx="21">
                  <c:v>0.2</c:v>
                </c:pt>
                <c:pt idx="22">
                  <c:v>1.2</c:v>
                </c:pt>
                <c:pt idx="23">
                  <c:v>5.3</c:v>
                </c:pt>
                <c:pt idx="24">
                  <c:v>7.1</c:v>
                </c:pt>
                <c:pt idx="25">
                  <c:v>7.8</c:v>
                </c:pt>
                <c:pt idx="26">
                  <c:v>4.5</c:v>
                </c:pt>
                <c:pt idx="27">
                  <c:v>5.5</c:v>
                </c:pt>
                <c:pt idx="28">
                  <c:v>10.1</c:v>
                </c:pt>
                <c:pt idx="29">
                  <c:v>12.3</c:v>
                </c:pt>
                <c:pt idx="30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F3-4505-BBE5-20E1DC862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54047"/>
        <c:axId val="1"/>
      </c:lineChart>
      <c:catAx>
        <c:axId val="94975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(Mrz!$F$10:$F$19,Mrz!$F$21:$F$30,Mrz!$F$32:$F$42)</c:f>
              <c:numCache>
                <c:formatCode>General</c:formatCode>
                <c:ptCount val="31"/>
                <c:pt idx="0">
                  <c:v>16</c:v>
                </c:pt>
                <c:pt idx="1">
                  <c:v>11</c:v>
                </c:pt>
                <c:pt idx="2">
                  <c:v>10</c:v>
                </c:pt>
                <c:pt idx="3">
                  <c:v>29</c:v>
                </c:pt>
                <c:pt idx="4">
                  <c:v>27</c:v>
                </c:pt>
                <c:pt idx="5">
                  <c:v>27</c:v>
                </c:pt>
                <c:pt idx="6">
                  <c:v>19</c:v>
                </c:pt>
                <c:pt idx="7">
                  <c:v>19</c:v>
                </c:pt>
                <c:pt idx="8">
                  <c:v>18</c:v>
                </c:pt>
                <c:pt idx="9">
                  <c:v>21</c:v>
                </c:pt>
                <c:pt idx="10">
                  <c:v>76</c:v>
                </c:pt>
                <c:pt idx="11">
                  <c:v>59</c:v>
                </c:pt>
                <c:pt idx="12">
                  <c:v>64</c:v>
                </c:pt>
                <c:pt idx="13">
                  <c:v>47</c:v>
                </c:pt>
                <c:pt idx="14">
                  <c:v>34</c:v>
                </c:pt>
                <c:pt idx="15">
                  <c:v>26</c:v>
                </c:pt>
                <c:pt idx="16">
                  <c:v>23</c:v>
                </c:pt>
                <c:pt idx="17">
                  <c:v>26</c:v>
                </c:pt>
                <c:pt idx="18">
                  <c:v>32</c:v>
                </c:pt>
                <c:pt idx="19">
                  <c:v>27</c:v>
                </c:pt>
                <c:pt idx="20">
                  <c:v>21</c:v>
                </c:pt>
                <c:pt idx="21">
                  <c:v>35</c:v>
                </c:pt>
                <c:pt idx="22">
                  <c:v>21</c:v>
                </c:pt>
                <c:pt idx="23">
                  <c:v>11</c:v>
                </c:pt>
                <c:pt idx="24">
                  <c:v>19</c:v>
                </c:pt>
                <c:pt idx="25">
                  <c:v>29</c:v>
                </c:pt>
                <c:pt idx="26">
                  <c:v>56</c:v>
                </c:pt>
                <c:pt idx="27">
                  <c:v>18</c:v>
                </c:pt>
                <c:pt idx="28">
                  <c:v>18</c:v>
                </c:pt>
                <c:pt idx="29">
                  <c:v>11</c:v>
                </c:pt>
                <c:pt idx="3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E-4DFF-81D3-9AB3CB803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67247"/>
        <c:axId val="1"/>
      </c:lineChart>
      <c:catAx>
        <c:axId val="94976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72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(Mrz!$G$10:$G$19,Mrz!$G$21:$G$30,Mrz!$G$32:$G$42)</c:f>
              <c:numCache>
                <c:formatCode>General</c:formatCode>
                <c:ptCount val="31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2.2000000000000002</c:v>
                </c:pt>
                <c:pt idx="4">
                  <c:v>3</c:v>
                </c:pt>
                <c:pt idx="5">
                  <c:v>0</c:v>
                </c:pt>
                <c:pt idx="6">
                  <c:v>0.8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4.5999999999999996</c:v>
                </c:pt>
                <c:pt idx="11">
                  <c:v>0.4</c:v>
                </c:pt>
                <c:pt idx="12">
                  <c:v>5.8</c:v>
                </c:pt>
                <c:pt idx="13">
                  <c:v>16.399999999999999</c:v>
                </c:pt>
                <c:pt idx="14">
                  <c:v>18</c:v>
                </c:pt>
                <c:pt idx="15">
                  <c:v>6</c:v>
                </c:pt>
                <c:pt idx="16">
                  <c:v>7.2</c:v>
                </c:pt>
                <c:pt idx="17">
                  <c:v>0</c:v>
                </c:pt>
                <c:pt idx="18">
                  <c:v>1.8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13.2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C-4D0A-B7F9-1CE2F62F78DF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(Mrz!$H$10:$H$19,Mrz!$H$21:$H$30,Mrz!$H$32:$H$42)</c:f>
              <c:numCache>
                <c:formatCode>General</c:formatCode>
                <c:ptCount val="3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2.4000000000000004</c:v>
                </c:pt>
                <c:pt idx="4">
                  <c:v>5.4</c:v>
                </c:pt>
                <c:pt idx="5">
                  <c:v>5.4</c:v>
                </c:pt>
                <c:pt idx="6">
                  <c:v>6.2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11</c:v>
                </c:pt>
                <c:pt idx="11">
                  <c:v>11.4</c:v>
                </c:pt>
                <c:pt idx="12">
                  <c:v>17.2</c:v>
                </c:pt>
                <c:pt idx="13">
                  <c:v>33.599999999999994</c:v>
                </c:pt>
                <c:pt idx="14">
                  <c:v>51.599999999999994</c:v>
                </c:pt>
                <c:pt idx="15">
                  <c:v>57.599999999999994</c:v>
                </c:pt>
                <c:pt idx="16">
                  <c:v>64.8</c:v>
                </c:pt>
                <c:pt idx="17">
                  <c:v>64.8</c:v>
                </c:pt>
                <c:pt idx="18">
                  <c:v>66.599999999999994</c:v>
                </c:pt>
                <c:pt idx="19">
                  <c:v>66.599999999999994</c:v>
                </c:pt>
                <c:pt idx="20">
                  <c:v>66.599999999999994</c:v>
                </c:pt>
                <c:pt idx="21">
                  <c:v>66.599999999999994</c:v>
                </c:pt>
                <c:pt idx="22">
                  <c:v>66.599999999999994</c:v>
                </c:pt>
                <c:pt idx="23">
                  <c:v>66.599999999999994</c:v>
                </c:pt>
                <c:pt idx="24">
                  <c:v>66.599999999999994</c:v>
                </c:pt>
                <c:pt idx="25">
                  <c:v>66.599999999999994</c:v>
                </c:pt>
                <c:pt idx="26">
                  <c:v>79.8</c:v>
                </c:pt>
                <c:pt idx="27">
                  <c:v>79.8</c:v>
                </c:pt>
                <c:pt idx="28">
                  <c:v>79.8</c:v>
                </c:pt>
                <c:pt idx="29">
                  <c:v>79.8</c:v>
                </c:pt>
                <c:pt idx="30">
                  <c:v>79.8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C-4D0A-B7F9-1CE2F62F7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847"/>
        <c:axId val="1"/>
      </c:barChart>
      <c:catAx>
        <c:axId val="949758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8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8449197860962566"/>
          <c:w val="0.93500076090556716"/>
          <c:h val="0.63101604278074863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(Mrz!$J$10:$J$19,Mrz!$J$21:$J$30,Mrz!$J$32:$J$42)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12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5-4471-9870-50560CF16C6B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(Mrz!$K$10:$K$19,Mrz!$K$21:$K$30,Mrz!$K$32:$K$42)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17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15</c:v>
                </c:pt>
                <c:pt idx="19">
                  <c:v>17</c:v>
                </c:pt>
                <c:pt idx="20">
                  <c:v>15</c:v>
                </c:pt>
                <c:pt idx="21">
                  <c:v>13</c:v>
                </c:pt>
                <c:pt idx="22">
                  <c:v>11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5-4471-9870-50560CF16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047"/>
        <c:axId val="1"/>
      </c:barChart>
      <c:catAx>
        <c:axId val="949758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7058823529411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047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1749260012453815"/>
          <c:w val="0.2141369922184593"/>
          <c:h val="6.2202888144036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(Mrz!$I$10:$I$19,Mrz!$I$21:$I$30,Mrz!$I$32:$I$42)</c:f>
              <c:numCache>
                <c:formatCode>0.00</c:formatCode>
                <c:ptCount val="31"/>
                <c:pt idx="0">
                  <c:v>8.18</c:v>
                </c:pt>
                <c:pt idx="1">
                  <c:v>8.02</c:v>
                </c:pt>
                <c:pt idx="2">
                  <c:v>0</c:v>
                </c:pt>
                <c:pt idx="3">
                  <c:v>1.72</c:v>
                </c:pt>
                <c:pt idx="4">
                  <c:v>0.05</c:v>
                </c:pt>
                <c:pt idx="5">
                  <c:v>3.87</c:v>
                </c:pt>
                <c:pt idx="6">
                  <c:v>2.95</c:v>
                </c:pt>
                <c:pt idx="7">
                  <c:v>3.77</c:v>
                </c:pt>
                <c:pt idx="8">
                  <c:v>6.47</c:v>
                </c:pt>
                <c:pt idx="9">
                  <c:v>8.5</c:v>
                </c:pt>
                <c:pt idx="10">
                  <c:v>0</c:v>
                </c:pt>
                <c:pt idx="11">
                  <c:v>6.95</c:v>
                </c:pt>
                <c:pt idx="12">
                  <c:v>4.88</c:v>
                </c:pt>
                <c:pt idx="13">
                  <c:v>0.1</c:v>
                </c:pt>
                <c:pt idx="14">
                  <c:v>0.2</c:v>
                </c:pt>
                <c:pt idx="15">
                  <c:v>1.25</c:v>
                </c:pt>
                <c:pt idx="16">
                  <c:v>1.6</c:v>
                </c:pt>
                <c:pt idx="17">
                  <c:v>4.8499999999999996</c:v>
                </c:pt>
                <c:pt idx="18">
                  <c:v>7.88</c:v>
                </c:pt>
                <c:pt idx="19">
                  <c:v>6.98</c:v>
                </c:pt>
                <c:pt idx="20">
                  <c:v>4.42</c:v>
                </c:pt>
                <c:pt idx="21">
                  <c:v>4.8499999999999996</c:v>
                </c:pt>
                <c:pt idx="22">
                  <c:v>7.88</c:v>
                </c:pt>
                <c:pt idx="23">
                  <c:v>9.6300000000000008</c:v>
                </c:pt>
                <c:pt idx="24">
                  <c:v>9.17</c:v>
                </c:pt>
                <c:pt idx="25">
                  <c:v>8.1999999999999993</c:v>
                </c:pt>
                <c:pt idx="26">
                  <c:v>2.68</c:v>
                </c:pt>
                <c:pt idx="27">
                  <c:v>9.67</c:v>
                </c:pt>
                <c:pt idx="28">
                  <c:v>9.93</c:v>
                </c:pt>
                <c:pt idx="29">
                  <c:v>9.5</c:v>
                </c:pt>
                <c:pt idx="30">
                  <c:v>9.7799999999999994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0-4E28-A0AF-E624E39A2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64047"/>
        <c:axId val="1"/>
      </c:barChart>
      <c:catAx>
        <c:axId val="94976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(Apr!$B$10:$B$19,Apr!$B$21:$B$30,Apr!$B$32:$B$41)</c:f>
              <c:numCache>
                <c:formatCode>General</c:formatCode>
                <c:ptCount val="30"/>
                <c:pt idx="0">
                  <c:v>19.2</c:v>
                </c:pt>
                <c:pt idx="1">
                  <c:v>17.899999999999999</c:v>
                </c:pt>
                <c:pt idx="2">
                  <c:v>6.8</c:v>
                </c:pt>
                <c:pt idx="3">
                  <c:v>10.199999999999999</c:v>
                </c:pt>
                <c:pt idx="4">
                  <c:v>12.2</c:v>
                </c:pt>
                <c:pt idx="5">
                  <c:v>0.1</c:v>
                </c:pt>
                <c:pt idx="6">
                  <c:v>0.2</c:v>
                </c:pt>
                <c:pt idx="7">
                  <c:v>8.1</c:v>
                </c:pt>
                <c:pt idx="8">
                  <c:v>13.3</c:v>
                </c:pt>
                <c:pt idx="9">
                  <c:v>12.3</c:v>
                </c:pt>
                <c:pt idx="10">
                  <c:v>16</c:v>
                </c:pt>
                <c:pt idx="11">
                  <c:v>5</c:v>
                </c:pt>
                <c:pt idx="12">
                  <c:v>4.3</c:v>
                </c:pt>
                <c:pt idx="13">
                  <c:v>5.3</c:v>
                </c:pt>
                <c:pt idx="14">
                  <c:v>4.7</c:v>
                </c:pt>
                <c:pt idx="15">
                  <c:v>6.1</c:v>
                </c:pt>
                <c:pt idx="16">
                  <c:v>7</c:v>
                </c:pt>
                <c:pt idx="17">
                  <c:v>6.7</c:v>
                </c:pt>
                <c:pt idx="18">
                  <c:v>10</c:v>
                </c:pt>
                <c:pt idx="19">
                  <c:v>11.7</c:v>
                </c:pt>
                <c:pt idx="20">
                  <c:v>13.3</c:v>
                </c:pt>
                <c:pt idx="21">
                  <c:v>13.9</c:v>
                </c:pt>
                <c:pt idx="22">
                  <c:v>15.3</c:v>
                </c:pt>
                <c:pt idx="23">
                  <c:v>18.2</c:v>
                </c:pt>
                <c:pt idx="24">
                  <c:v>15.2</c:v>
                </c:pt>
                <c:pt idx="25">
                  <c:v>14.3</c:v>
                </c:pt>
                <c:pt idx="26">
                  <c:v>16.2</c:v>
                </c:pt>
                <c:pt idx="27">
                  <c:v>16.399999999999999</c:v>
                </c:pt>
                <c:pt idx="28">
                  <c:v>11.8</c:v>
                </c:pt>
                <c:pt idx="29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06D-9E06-962EBF1EB50A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(Apr!$C$10:$C$19,Apr!$C$21:$C$30,Apr!$C$32:$C$41)</c:f>
              <c:numCache>
                <c:formatCode>General</c:formatCode>
                <c:ptCount val="30"/>
                <c:pt idx="0">
                  <c:v>9.3000000000000007</c:v>
                </c:pt>
                <c:pt idx="1">
                  <c:v>6.2</c:v>
                </c:pt>
                <c:pt idx="2">
                  <c:v>0.3</c:v>
                </c:pt>
                <c:pt idx="3">
                  <c:v>-1.9</c:v>
                </c:pt>
                <c:pt idx="4">
                  <c:v>-2.2999999999999998</c:v>
                </c:pt>
                <c:pt idx="5">
                  <c:v>-6.6</c:v>
                </c:pt>
                <c:pt idx="6">
                  <c:v>-6</c:v>
                </c:pt>
                <c:pt idx="7">
                  <c:v>-3.9</c:v>
                </c:pt>
                <c:pt idx="8">
                  <c:v>1.8</c:v>
                </c:pt>
                <c:pt idx="9">
                  <c:v>3.4</c:v>
                </c:pt>
                <c:pt idx="10">
                  <c:v>4.9000000000000004</c:v>
                </c:pt>
                <c:pt idx="11">
                  <c:v>-1.9</c:v>
                </c:pt>
                <c:pt idx="12">
                  <c:v>-3.6</c:v>
                </c:pt>
                <c:pt idx="13">
                  <c:v>-3.3</c:v>
                </c:pt>
                <c:pt idx="14">
                  <c:v>-2.8</c:v>
                </c:pt>
                <c:pt idx="15">
                  <c:v>-3.4</c:v>
                </c:pt>
                <c:pt idx="16">
                  <c:v>-2.8</c:v>
                </c:pt>
                <c:pt idx="17">
                  <c:v>-0.7</c:v>
                </c:pt>
                <c:pt idx="18">
                  <c:v>-0.1</c:v>
                </c:pt>
                <c:pt idx="19">
                  <c:v>1.6</c:v>
                </c:pt>
                <c:pt idx="20">
                  <c:v>2.9</c:v>
                </c:pt>
                <c:pt idx="21">
                  <c:v>2.5</c:v>
                </c:pt>
                <c:pt idx="22">
                  <c:v>2.7</c:v>
                </c:pt>
                <c:pt idx="23">
                  <c:v>4.3</c:v>
                </c:pt>
                <c:pt idx="24">
                  <c:v>6.4</c:v>
                </c:pt>
                <c:pt idx="25">
                  <c:v>5.8</c:v>
                </c:pt>
                <c:pt idx="26">
                  <c:v>3.2</c:v>
                </c:pt>
                <c:pt idx="27">
                  <c:v>7.5</c:v>
                </c:pt>
                <c:pt idx="28">
                  <c:v>5.8</c:v>
                </c:pt>
                <c:pt idx="29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AD-406D-9E06-962EBF1EB50A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(Apr!$E$10:$E$19,Apr!$E$21:$E$30,Apr!$E$32:$E$41)</c:f>
              <c:numCache>
                <c:formatCode>General</c:formatCode>
                <c:ptCount val="30"/>
                <c:pt idx="0">
                  <c:v>13.9</c:v>
                </c:pt>
                <c:pt idx="1">
                  <c:v>11.7</c:v>
                </c:pt>
                <c:pt idx="2">
                  <c:v>3.5</c:v>
                </c:pt>
                <c:pt idx="3">
                  <c:v>4</c:v>
                </c:pt>
                <c:pt idx="4">
                  <c:v>5.7</c:v>
                </c:pt>
                <c:pt idx="5">
                  <c:v>-3.2</c:v>
                </c:pt>
                <c:pt idx="6">
                  <c:v>-3</c:v>
                </c:pt>
                <c:pt idx="7">
                  <c:v>1.5</c:v>
                </c:pt>
                <c:pt idx="8">
                  <c:v>6.7</c:v>
                </c:pt>
                <c:pt idx="9">
                  <c:v>7.6</c:v>
                </c:pt>
                <c:pt idx="10">
                  <c:v>8.9</c:v>
                </c:pt>
                <c:pt idx="11">
                  <c:v>0.4</c:v>
                </c:pt>
                <c:pt idx="12">
                  <c:v>0.1</c:v>
                </c:pt>
                <c:pt idx="13">
                  <c:v>0.4</c:v>
                </c:pt>
                <c:pt idx="14">
                  <c:v>0.3</c:v>
                </c:pt>
                <c:pt idx="15">
                  <c:v>1.2</c:v>
                </c:pt>
                <c:pt idx="16">
                  <c:v>1.8</c:v>
                </c:pt>
                <c:pt idx="17">
                  <c:v>2.8</c:v>
                </c:pt>
                <c:pt idx="18">
                  <c:v>4.2</c:v>
                </c:pt>
                <c:pt idx="19">
                  <c:v>6.4</c:v>
                </c:pt>
                <c:pt idx="20">
                  <c:v>7.1</c:v>
                </c:pt>
                <c:pt idx="21">
                  <c:v>8.3000000000000007</c:v>
                </c:pt>
                <c:pt idx="22">
                  <c:v>9.1999999999999993</c:v>
                </c:pt>
                <c:pt idx="23">
                  <c:v>11.5</c:v>
                </c:pt>
                <c:pt idx="24">
                  <c:v>11.3</c:v>
                </c:pt>
                <c:pt idx="25">
                  <c:v>9.8000000000000007</c:v>
                </c:pt>
                <c:pt idx="26">
                  <c:v>9.9</c:v>
                </c:pt>
                <c:pt idx="27">
                  <c:v>10.5</c:v>
                </c:pt>
                <c:pt idx="28">
                  <c:v>8.1999999999999993</c:v>
                </c:pt>
                <c:pt idx="29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AD-406D-9E06-962EBF1E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9903"/>
        <c:axId val="1"/>
      </c:lineChart>
      <c:catAx>
        <c:axId val="34369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6990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(Apr!$F$10:$F$19,Apr!$F$21:$F$30,Apr!$F$32:$F$41)</c:f>
              <c:numCache>
                <c:formatCode>General</c:formatCode>
                <c:ptCount val="30"/>
                <c:pt idx="0">
                  <c:v>21</c:v>
                </c:pt>
                <c:pt idx="1">
                  <c:v>32</c:v>
                </c:pt>
                <c:pt idx="2">
                  <c:v>47</c:v>
                </c:pt>
                <c:pt idx="3">
                  <c:v>32</c:v>
                </c:pt>
                <c:pt idx="4">
                  <c:v>53</c:v>
                </c:pt>
                <c:pt idx="5">
                  <c:v>35</c:v>
                </c:pt>
                <c:pt idx="6">
                  <c:v>31</c:v>
                </c:pt>
                <c:pt idx="7">
                  <c:v>19</c:v>
                </c:pt>
                <c:pt idx="8">
                  <c:v>21</c:v>
                </c:pt>
                <c:pt idx="9">
                  <c:v>19</c:v>
                </c:pt>
                <c:pt idx="10">
                  <c:v>34</c:v>
                </c:pt>
                <c:pt idx="11">
                  <c:v>31</c:v>
                </c:pt>
                <c:pt idx="12">
                  <c:v>29</c:v>
                </c:pt>
                <c:pt idx="13">
                  <c:v>32</c:v>
                </c:pt>
                <c:pt idx="14">
                  <c:v>40</c:v>
                </c:pt>
                <c:pt idx="15">
                  <c:v>39</c:v>
                </c:pt>
                <c:pt idx="16">
                  <c:v>39</c:v>
                </c:pt>
                <c:pt idx="17">
                  <c:v>34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35</c:v>
                </c:pt>
                <c:pt idx="22">
                  <c:v>32</c:v>
                </c:pt>
                <c:pt idx="23">
                  <c:v>23</c:v>
                </c:pt>
                <c:pt idx="24">
                  <c:v>23</c:v>
                </c:pt>
                <c:pt idx="25">
                  <c:v>29</c:v>
                </c:pt>
                <c:pt idx="26">
                  <c:v>19</c:v>
                </c:pt>
                <c:pt idx="27">
                  <c:v>42</c:v>
                </c:pt>
                <c:pt idx="28">
                  <c:v>35</c:v>
                </c:pt>
                <c:pt idx="2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E-4943-9D7A-7E8920CA3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2303"/>
        <c:axId val="1"/>
      </c:lineChart>
      <c:catAx>
        <c:axId val="34372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7230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(Apr!$G$10:$G$19,Apr!$G$21:$G$30,Apr!$G$32:$G$41)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13.2</c:v>
                </c:pt>
                <c:pt idx="11">
                  <c:v>19.600000000000001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9.1999999999999993</c:v>
                </c:pt>
                <c:pt idx="28">
                  <c:v>6.4</c:v>
                </c:pt>
                <c:pt idx="29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8-42EE-9DFE-973C830C977D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(Apr!$H$10:$H$19,Apr!$H$21:$H$30,Apr!$H$32:$H$41)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</c:v>
                </c:pt>
                <c:pt idx="5">
                  <c:v>5.6</c:v>
                </c:pt>
                <c:pt idx="6">
                  <c:v>7.8</c:v>
                </c:pt>
                <c:pt idx="7">
                  <c:v>7.8</c:v>
                </c:pt>
                <c:pt idx="8">
                  <c:v>7.8</c:v>
                </c:pt>
                <c:pt idx="9">
                  <c:v>7.8</c:v>
                </c:pt>
                <c:pt idx="10">
                  <c:v>21</c:v>
                </c:pt>
                <c:pt idx="11">
                  <c:v>40.6</c:v>
                </c:pt>
                <c:pt idx="12">
                  <c:v>40.6</c:v>
                </c:pt>
                <c:pt idx="13">
                  <c:v>40.6</c:v>
                </c:pt>
                <c:pt idx="14">
                  <c:v>40.6</c:v>
                </c:pt>
                <c:pt idx="15">
                  <c:v>40.6</c:v>
                </c:pt>
                <c:pt idx="16">
                  <c:v>40.6</c:v>
                </c:pt>
                <c:pt idx="17">
                  <c:v>40.6</c:v>
                </c:pt>
                <c:pt idx="18">
                  <c:v>40.6</c:v>
                </c:pt>
                <c:pt idx="19">
                  <c:v>40.6</c:v>
                </c:pt>
                <c:pt idx="20">
                  <c:v>42.6</c:v>
                </c:pt>
                <c:pt idx="21">
                  <c:v>42.6</c:v>
                </c:pt>
                <c:pt idx="22">
                  <c:v>42.6</c:v>
                </c:pt>
                <c:pt idx="23">
                  <c:v>42.6</c:v>
                </c:pt>
                <c:pt idx="24">
                  <c:v>42.6</c:v>
                </c:pt>
                <c:pt idx="25">
                  <c:v>42.6</c:v>
                </c:pt>
                <c:pt idx="26">
                  <c:v>42.6</c:v>
                </c:pt>
                <c:pt idx="27">
                  <c:v>51.8</c:v>
                </c:pt>
                <c:pt idx="28">
                  <c:v>58.199999999999996</c:v>
                </c:pt>
                <c:pt idx="2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8-42EE-9DFE-973C830C9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427071"/>
        <c:axId val="1"/>
      </c:barChart>
      <c:catAx>
        <c:axId val="20274270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27427071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9047671151936579"/>
          <c:w val="0.93500076090556716"/>
          <c:h val="0.61624818432735995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(Apr!$J$10:$J$19,Apr!$J$21:$J$30,Apr!$J$32:$J$41)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A-4C15-9B2D-200DF8ED1293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(Apr!$K$10:$K$19,Apr!$K$21:$K$30,Apr!$K$32:$K$41)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A-4C15-9B2D-200DF8ED1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84559"/>
        <c:axId val="1"/>
      </c:barChart>
      <c:catAx>
        <c:axId val="14118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6778829116948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18455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1356487617941962"/>
          <c:w val="0.2141369922184593"/>
          <c:h val="6.51651214833056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(Jan!$F$10:$F$19,Jan!$F$21:$F$30,Jan!$F$32:$F$42)</c:f>
              <c:numCache>
                <c:formatCode>General</c:formatCode>
                <c:ptCount val="31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16</c:v>
                </c:pt>
                <c:pt idx="4">
                  <c:v>13</c:v>
                </c:pt>
                <c:pt idx="5">
                  <c:v>16</c:v>
                </c:pt>
                <c:pt idx="6">
                  <c:v>3</c:v>
                </c:pt>
                <c:pt idx="7">
                  <c:v>14</c:v>
                </c:pt>
                <c:pt idx="8">
                  <c:v>26</c:v>
                </c:pt>
                <c:pt idx="9">
                  <c:v>24</c:v>
                </c:pt>
                <c:pt idx="10">
                  <c:v>18</c:v>
                </c:pt>
                <c:pt idx="11">
                  <c:v>24</c:v>
                </c:pt>
                <c:pt idx="12">
                  <c:v>35</c:v>
                </c:pt>
                <c:pt idx="13">
                  <c:v>50</c:v>
                </c:pt>
                <c:pt idx="14">
                  <c:v>23</c:v>
                </c:pt>
                <c:pt idx="15">
                  <c:v>0</c:v>
                </c:pt>
                <c:pt idx="16">
                  <c:v>28</c:v>
                </c:pt>
                <c:pt idx="17">
                  <c:v>8</c:v>
                </c:pt>
                <c:pt idx="18">
                  <c:v>10</c:v>
                </c:pt>
                <c:pt idx="19">
                  <c:v>14</c:v>
                </c:pt>
                <c:pt idx="20">
                  <c:v>24</c:v>
                </c:pt>
                <c:pt idx="21">
                  <c:v>52</c:v>
                </c:pt>
                <c:pt idx="22">
                  <c:v>34</c:v>
                </c:pt>
                <c:pt idx="23">
                  <c:v>39</c:v>
                </c:pt>
                <c:pt idx="24">
                  <c:v>48</c:v>
                </c:pt>
                <c:pt idx="25">
                  <c:v>18</c:v>
                </c:pt>
                <c:pt idx="26">
                  <c:v>14</c:v>
                </c:pt>
                <c:pt idx="27">
                  <c:v>48</c:v>
                </c:pt>
                <c:pt idx="28">
                  <c:v>61</c:v>
                </c:pt>
                <c:pt idx="29">
                  <c:v>35</c:v>
                </c:pt>
                <c:pt idx="3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B-404E-AA11-81480C777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67247"/>
        <c:axId val="1"/>
      </c:lineChart>
      <c:catAx>
        <c:axId val="94976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72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(Apr!$I$10:$I$19,Apr!$I$21:$I$30,Apr!$I$32:$I$41)</c:f>
              <c:numCache>
                <c:formatCode>0.00</c:formatCode>
                <c:ptCount val="30"/>
                <c:pt idx="0">
                  <c:v>10.02</c:v>
                </c:pt>
                <c:pt idx="1">
                  <c:v>9.4</c:v>
                </c:pt>
                <c:pt idx="2">
                  <c:v>5.0199999999999996</c:v>
                </c:pt>
                <c:pt idx="3">
                  <c:v>10.1</c:v>
                </c:pt>
                <c:pt idx="4">
                  <c:v>6.32</c:v>
                </c:pt>
                <c:pt idx="5">
                  <c:v>3.25</c:v>
                </c:pt>
                <c:pt idx="6">
                  <c:v>2.5299999999999998</c:v>
                </c:pt>
                <c:pt idx="7">
                  <c:v>10.5</c:v>
                </c:pt>
                <c:pt idx="8">
                  <c:v>8.32</c:v>
                </c:pt>
                <c:pt idx="9">
                  <c:v>4.4800000000000004</c:v>
                </c:pt>
                <c:pt idx="10">
                  <c:v>6.9</c:v>
                </c:pt>
                <c:pt idx="11">
                  <c:v>6.17</c:v>
                </c:pt>
                <c:pt idx="12">
                  <c:v>5.75</c:v>
                </c:pt>
                <c:pt idx="13">
                  <c:v>9.3000000000000007</c:v>
                </c:pt>
                <c:pt idx="14">
                  <c:v>5.17</c:v>
                </c:pt>
                <c:pt idx="15">
                  <c:v>9.65</c:v>
                </c:pt>
                <c:pt idx="16">
                  <c:v>7.77</c:v>
                </c:pt>
                <c:pt idx="17">
                  <c:v>4.82</c:v>
                </c:pt>
                <c:pt idx="18">
                  <c:v>6.67</c:v>
                </c:pt>
                <c:pt idx="19">
                  <c:v>7.37</c:v>
                </c:pt>
                <c:pt idx="20">
                  <c:v>6.45</c:v>
                </c:pt>
                <c:pt idx="21">
                  <c:v>8.27</c:v>
                </c:pt>
                <c:pt idx="22">
                  <c:v>11.7</c:v>
                </c:pt>
                <c:pt idx="23">
                  <c:v>11.82</c:v>
                </c:pt>
                <c:pt idx="24">
                  <c:v>5.72</c:v>
                </c:pt>
                <c:pt idx="25">
                  <c:v>8.3699999999999992</c:v>
                </c:pt>
                <c:pt idx="26">
                  <c:v>10.130000000000001</c:v>
                </c:pt>
                <c:pt idx="27">
                  <c:v>4.7</c:v>
                </c:pt>
                <c:pt idx="28">
                  <c:v>1.33</c:v>
                </c:pt>
                <c:pt idx="29">
                  <c:v>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E-4368-A674-AA3CE6A81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4271"/>
        <c:axId val="1"/>
      </c:barChart>
      <c:catAx>
        <c:axId val="37204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04271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(Mai!$B$10:$B$19,Mai!$B$21:$B$30,Mai!$B$32:$B$42)</c:f>
              <c:numCache>
                <c:formatCode>General</c:formatCode>
                <c:ptCount val="31"/>
                <c:pt idx="0">
                  <c:v>7.1</c:v>
                </c:pt>
                <c:pt idx="1">
                  <c:v>8.3000000000000007</c:v>
                </c:pt>
                <c:pt idx="2">
                  <c:v>11.3</c:v>
                </c:pt>
                <c:pt idx="3">
                  <c:v>13.2</c:v>
                </c:pt>
                <c:pt idx="4">
                  <c:v>9.6</c:v>
                </c:pt>
                <c:pt idx="5">
                  <c:v>7.7</c:v>
                </c:pt>
                <c:pt idx="6">
                  <c:v>9.1</c:v>
                </c:pt>
                <c:pt idx="7">
                  <c:v>17.8</c:v>
                </c:pt>
                <c:pt idx="8">
                  <c:v>22.5</c:v>
                </c:pt>
                <c:pt idx="9">
                  <c:v>16.399999999999999</c:v>
                </c:pt>
                <c:pt idx="10">
                  <c:v>10.199999999999999</c:v>
                </c:pt>
                <c:pt idx="11">
                  <c:v>11.3</c:v>
                </c:pt>
                <c:pt idx="12">
                  <c:v>9.4</c:v>
                </c:pt>
                <c:pt idx="13">
                  <c:v>13.4</c:v>
                </c:pt>
                <c:pt idx="14">
                  <c:v>9.1999999999999993</c:v>
                </c:pt>
                <c:pt idx="15">
                  <c:v>9.6999999999999993</c:v>
                </c:pt>
                <c:pt idx="16">
                  <c:v>11</c:v>
                </c:pt>
                <c:pt idx="17">
                  <c:v>12.6</c:v>
                </c:pt>
                <c:pt idx="18">
                  <c:v>9.6</c:v>
                </c:pt>
                <c:pt idx="19">
                  <c:v>12.8</c:v>
                </c:pt>
                <c:pt idx="20">
                  <c:v>10.7</c:v>
                </c:pt>
                <c:pt idx="21">
                  <c:v>14.4</c:v>
                </c:pt>
                <c:pt idx="22">
                  <c:v>13.7</c:v>
                </c:pt>
                <c:pt idx="23">
                  <c:v>12.8</c:v>
                </c:pt>
                <c:pt idx="24">
                  <c:v>12.2</c:v>
                </c:pt>
                <c:pt idx="25">
                  <c:v>15.7</c:v>
                </c:pt>
                <c:pt idx="26">
                  <c:v>12.8</c:v>
                </c:pt>
                <c:pt idx="27">
                  <c:v>18.5</c:v>
                </c:pt>
                <c:pt idx="28">
                  <c:v>17.3</c:v>
                </c:pt>
                <c:pt idx="29">
                  <c:v>18.399999999999999</c:v>
                </c:pt>
                <c:pt idx="30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A-4D21-AFCD-81FB342B3F97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(Mai!$C$10:$C$19,Mai!$C$21:$C$30,Mai!$C$32:$C$42)</c:f>
              <c:numCache>
                <c:formatCode>General</c:formatCode>
                <c:ptCount val="31"/>
                <c:pt idx="0">
                  <c:v>1.8</c:v>
                </c:pt>
                <c:pt idx="1">
                  <c:v>0.4</c:v>
                </c:pt>
                <c:pt idx="2">
                  <c:v>0.4</c:v>
                </c:pt>
                <c:pt idx="3">
                  <c:v>4</c:v>
                </c:pt>
                <c:pt idx="4">
                  <c:v>3.6</c:v>
                </c:pt>
                <c:pt idx="5">
                  <c:v>3.7</c:v>
                </c:pt>
                <c:pt idx="6">
                  <c:v>4</c:v>
                </c:pt>
                <c:pt idx="7">
                  <c:v>2.2999999999999998</c:v>
                </c:pt>
                <c:pt idx="8">
                  <c:v>7.3</c:v>
                </c:pt>
                <c:pt idx="9">
                  <c:v>9.6999999999999993</c:v>
                </c:pt>
                <c:pt idx="10">
                  <c:v>5.8</c:v>
                </c:pt>
                <c:pt idx="11">
                  <c:v>4.4000000000000004</c:v>
                </c:pt>
                <c:pt idx="12">
                  <c:v>4.5999999999999996</c:v>
                </c:pt>
                <c:pt idx="13">
                  <c:v>2.9</c:v>
                </c:pt>
                <c:pt idx="14">
                  <c:v>2.8</c:v>
                </c:pt>
                <c:pt idx="15">
                  <c:v>3.9</c:v>
                </c:pt>
                <c:pt idx="16">
                  <c:v>4.8</c:v>
                </c:pt>
                <c:pt idx="17">
                  <c:v>4.7</c:v>
                </c:pt>
                <c:pt idx="18">
                  <c:v>3.7</c:v>
                </c:pt>
                <c:pt idx="19">
                  <c:v>3.4</c:v>
                </c:pt>
                <c:pt idx="20">
                  <c:v>4.4000000000000004</c:v>
                </c:pt>
                <c:pt idx="21">
                  <c:v>3.7</c:v>
                </c:pt>
                <c:pt idx="22">
                  <c:v>4.0999999999999996</c:v>
                </c:pt>
                <c:pt idx="23">
                  <c:v>5.4</c:v>
                </c:pt>
                <c:pt idx="24">
                  <c:v>3.6</c:v>
                </c:pt>
                <c:pt idx="25">
                  <c:v>5.3</c:v>
                </c:pt>
                <c:pt idx="26">
                  <c:v>6.2</c:v>
                </c:pt>
                <c:pt idx="27">
                  <c:v>5.3</c:v>
                </c:pt>
                <c:pt idx="28">
                  <c:v>9.4</c:v>
                </c:pt>
                <c:pt idx="29">
                  <c:v>7</c:v>
                </c:pt>
                <c:pt idx="30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A-4D21-AFCD-81FB342B3F97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(Mai!$E$10:$E$19,Mai!$E$21:$E$30,Mai!$E$32:$E$42)</c:f>
              <c:numCache>
                <c:formatCode>General</c:formatCode>
                <c:ptCount val="31"/>
                <c:pt idx="0">
                  <c:v>4.9000000000000004</c:v>
                </c:pt>
                <c:pt idx="1">
                  <c:v>2.6</c:v>
                </c:pt>
                <c:pt idx="2">
                  <c:v>5.5</c:v>
                </c:pt>
                <c:pt idx="3">
                  <c:v>9.1</c:v>
                </c:pt>
                <c:pt idx="4">
                  <c:v>6.6</c:v>
                </c:pt>
                <c:pt idx="5">
                  <c:v>5.9</c:v>
                </c:pt>
                <c:pt idx="6">
                  <c:v>6.3</c:v>
                </c:pt>
                <c:pt idx="7">
                  <c:v>9.8000000000000007</c:v>
                </c:pt>
                <c:pt idx="8">
                  <c:v>15.5</c:v>
                </c:pt>
                <c:pt idx="9">
                  <c:v>13.1</c:v>
                </c:pt>
                <c:pt idx="10">
                  <c:v>8.1999999999999993</c:v>
                </c:pt>
                <c:pt idx="11">
                  <c:v>7.1</c:v>
                </c:pt>
                <c:pt idx="12">
                  <c:v>6.5</c:v>
                </c:pt>
                <c:pt idx="13">
                  <c:v>6.5</c:v>
                </c:pt>
                <c:pt idx="14">
                  <c:v>5.9</c:v>
                </c:pt>
                <c:pt idx="15">
                  <c:v>7.1</c:v>
                </c:pt>
                <c:pt idx="16">
                  <c:v>7.2</c:v>
                </c:pt>
                <c:pt idx="17">
                  <c:v>8</c:v>
                </c:pt>
                <c:pt idx="18">
                  <c:v>5.4</c:v>
                </c:pt>
                <c:pt idx="19">
                  <c:v>7.7</c:v>
                </c:pt>
                <c:pt idx="20">
                  <c:v>7.9</c:v>
                </c:pt>
                <c:pt idx="21">
                  <c:v>8.6</c:v>
                </c:pt>
                <c:pt idx="22">
                  <c:v>8.4</c:v>
                </c:pt>
                <c:pt idx="23">
                  <c:v>9.1</c:v>
                </c:pt>
                <c:pt idx="24">
                  <c:v>7.2</c:v>
                </c:pt>
                <c:pt idx="25">
                  <c:v>10.1</c:v>
                </c:pt>
                <c:pt idx="26">
                  <c:v>9.5</c:v>
                </c:pt>
                <c:pt idx="27">
                  <c:v>12.2</c:v>
                </c:pt>
                <c:pt idx="28">
                  <c:v>13.1</c:v>
                </c:pt>
                <c:pt idx="29">
                  <c:v>12.7</c:v>
                </c:pt>
                <c:pt idx="30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A-4D21-AFCD-81FB342B3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54047"/>
        <c:axId val="1"/>
      </c:lineChart>
      <c:catAx>
        <c:axId val="94975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(Mai!$F$10:$F$19,Mai!$F$21:$F$30,Mai!$F$32:$F$42)</c:f>
              <c:numCache>
                <c:formatCode>General</c:formatCode>
                <c:ptCount val="31"/>
                <c:pt idx="0">
                  <c:v>27</c:v>
                </c:pt>
                <c:pt idx="1">
                  <c:v>27</c:v>
                </c:pt>
                <c:pt idx="2">
                  <c:v>19</c:v>
                </c:pt>
                <c:pt idx="3">
                  <c:v>56</c:v>
                </c:pt>
                <c:pt idx="4">
                  <c:v>52</c:v>
                </c:pt>
                <c:pt idx="5">
                  <c:v>50</c:v>
                </c:pt>
                <c:pt idx="6">
                  <c:v>47</c:v>
                </c:pt>
                <c:pt idx="7">
                  <c:v>21</c:v>
                </c:pt>
                <c:pt idx="8">
                  <c:v>19</c:v>
                </c:pt>
                <c:pt idx="9">
                  <c:v>27</c:v>
                </c:pt>
                <c:pt idx="10">
                  <c:v>42</c:v>
                </c:pt>
                <c:pt idx="11">
                  <c:v>27</c:v>
                </c:pt>
                <c:pt idx="12">
                  <c:v>39</c:v>
                </c:pt>
                <c:pt idx="13">
                  <c:v>40</c:v>
                </c:pt>
                <c:pt idx="14">
                  <c:v>35</c:v>
                </c:pt>
                <c:pt idx="15">
                  <c:v>52</c:v>
                </c:pt>
                <c:pt idx="16">
                  <c:v>56</c:v>
                </c:pt>
                <c:pt idx="17">
                  <c:v>35</c:v>
                </c:pt>
                <c:pt idx="18">
                  <c:v>32</c:v>
                </c:pt>
                <c:pt idx="19">
                  <c:v>24</c:v>
                </c:pt>
                <c:pt idx="20">
                  <c:v>40</c:v>
                </c:pt>
                <c:pt idx="21">
                  <c:v>45</c:v>
                </c:pt>
                <c:pt idx="22">
                  <c:v>35</c:v>
                </c:pt>
                <c:pt idx="23">
                  <c:v>55</c:v>
                </c:pt>
                <c:pt idx="24">
                  <c:v>48</c:v>
                </c:pt>
                <c:pt idx="25">
                  <c:v>39</c:v>
                </c:pt>
                <c:pt idx="26">
                  <c:v>35</c:v>
                </c:pt>
                <c:pt idx="27">
                  <c:v>27</c:v>
                </c:pt>
                <c:pt idx="28">
                  <c:v>34</c:v>
                </c:pt>
                <c:pt idx="29">
                  <c:v>34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E-4386-999D-6A4046034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67247"/>
        <c:axId val="1"/>
      </c:lineChart>
      <c:catAx>
        <c:axId val="94976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72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(Mai!$G$10:$G$19,Mai!$G$21:$G$30,Mai!$G$32:$G$42)</c:f>
              <c:numCache>
                <c:formatCode>General</c:formatCode>
                <c:ptCount val="31"/>
                <c:pt idx="0">
                  <c:v>13</c:v>
                </c:pt>
                <c:pt idx="1">
                  <c:v>16.8</c:v>
                </c:pt>
                <c:pt idx="2">
                  <c:v>1.8</c:v>
                </c:pt>
                <c:pt idx="3">
                  <c:v>0</c:v>
                </c:pt>
                <c:pt idx="4">
                  <c:v>7.8</c:v>
                </c:pt>
                <c:pt idx="5">
                  <c:v>14.8</c:v>
                </c:pt>
                <c:pt idx="6">
                  <c:v>5.6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19.600000000000001</c:v>
                </c:pt>
                <c:pt idx="11">
                  <c:v>3</c:v>
                </c:pt>
                <c:pt idx="12">
                  <c:v>0.6</c:v>
                </c:pt>
                <c:pt idx="13">
                  <c:v>8.4</c:v>
                </c:pt>
                <c:pt idx="14">
                  <c:v>13.4</c:v>
                </c:pt>
                <c:pt idx="15">
                  <c:v>25</c:v>
                </c:pt>
                <c:pt idx="16">
                  <c:v>3</c:v>
                </c:pt>
                <c:pt idx="17">
                  <c:v>7.4</c:v>
                </c:pt>
                <c:pt idx="18">
                  <c:v>11.2</c:v>
                </c:pt>
                <c:pt idx="19">
                  <c:v>1</c:v>
                </c:pt>
                <c:pt idx="20">
                  <c:v>22.4</c:v>
                </c:pt>
                <c:pt idx="21">
                  <c:v>5.2</c:v>
                </c:pt>
                <c:pt idx="22">
                  <c:v>12.4</c:v>
                </c:pt>
                <c:pt idx="23">
                  <c:v>0.4</c:v>
                </c:pt>
                <c:pt idx="24">
                  <c:v>1.6</c:v>
                </c:pt>
                <c:pt idx="25">
                  <c:v>0</c:v>
                </c:pt>
                <c:pt idx="26">
                  <c:v>0.4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C-423D-ABAB-FD6F14436446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(Mai!$H$10:$H$19,Mai!$H$21:$H$30,Mai!$H$32:$H$42)</c:f>
              <c:numCache>
                <c:formatCode>General</c:formatCode>
                <c:ptCount val="31"/>
                <c:pt idx="0">
                  <c:v>13</c:v>
                </c:pt>
                <c:pt idx="1">
                  <c:v>29.8</c:v>
                </c:pt>
                <c:pt idx="2">
                  <c:v>31.6</c:v>
                </c:pt>
                <c:pt idx="3">
                  <c:v>31.6</c:v>
                </c:pt>
                <c:pt idx="4">
                  <c:v>39.4</c:v>
                </c:pt>
                <c:pt idx="5">
                  <c:v>54.2</c:v>
                </c:pt>
                <c:pt idx="6">
                  <c:v>59.800000000000004</c:v>
                </c:pt>
                <c:pt idx="7">
                  <c:v>59.800000000000004</c:v>
                </c:pt>
                <c:pt idx="8">
                  <c:v>59.800000000000004</c:v>
                </c:pt>
                <c:pt idx="9">
                  <c:v>59.800000000000004</c:v>
                </c:pt>
                <c:pt idx="10">
                  <c:v>79.400000000000006</c:v>
                </c:pt>
                <c:pt idx="11">
                  <c:v>82.4</c:v>
                </c:pt>
                <c:pt idx="12">
                  <c:v>83</c:v>
                </c:pt>
                <c:pt idx="13">
                  <c:v>91.4</c:v>
                </c:pt>
                <c:pt idx="14">
                  <c:v>104.80000000000001</c:v>
                </c:pt>
                <c:pt idx="15">
                  <c:v>129.80000000000001</c:v>
                </c:pt>
                <c:pt idx="16">
                  <c:v>132.80000000000001</c:v>
                </c:pt>
                <c:pt idx="17">
                  <c:v>140.20000000000002</c:v>
                </c:pt>
                <c:pt idx="18">
                  <c:v>151.4</c:v>
                </c:pt>
                <c:pt idx="19">
                  <c:v>152.4</c:v>
                </c:pt>
                <c:pt idx="20">
                  <c:v>174.8</c:v>
                </c:pt>
                <c:pt idx="21">
                  <c:v>180</c:v>
                </c:pt>
                <c:pt idx="22">
                  <c:v>192.4</c:v>
                </c:pt>
                <c:pt idx="23">
                  <c:v>192.8</c:v>
                </c:pt>
                <c:pt idx="24">
                  <c:v>194.4</c:v>
                </c:pt>
                <c:pt idx="25">
                  <c:v>194.4</c:v>
                </c:pt>
                <c:pt idx="26">
                  <c:v>194.8</c:v>
                </c:pt>
                <c:pt idx="27">
                  <c:v>194.8</c:v>
                </c:pt>
                <c:pt idx="28">
                  <c:v>194.8</c:v>
                </c:pt>
                <c:pt idx="29">
                  <c:v>194.8</c:v>
                </c:pt>
                <c:pt idx="30">
                  <c:v>194.8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C-423D-ABAB-FD6F14436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847"/>
        <c:axId val="1"/>
      </c:barChart>
      <c:catAx>
        <c:axId val="949758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8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8449197860962566"/>
          <c:w val="0.93500076090556716"/>
          <c:h val="0.63101604278074863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(Mai!$J$10:$J$19,Mai!$J$21:$J$30,Mai!$J$32:$J$42)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0-4731-A0D0-925327B0B33C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(Mai!$K$10:$K$19,Mai!$K$21:$K$30,Mai!$K$32:$K$42)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0-4731-A0D0-925327B0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047"/>
        <c:axId val="1"/>
      </c:barChart>
      <c:catAx>
        <c:axId val="949758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7058823529411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047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1749260012453815"/>
          <c:w val="0.2141369922184593"/>
          <c:h val="6.2202888144036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(Mai!$I$10:$I$19,Mai!$I$21:$I$30,Mai!$I$32:$I$42)</c:f>
              <c:numCache>
                <c:formatCode>0.00</c:formatCode>
                <c:ptCount val="31"/>
                <c:pt idx="0">
                  <c:v>0</c:v>
                </c:pt>
                <c:pt idx="1">
                  <c:v>2.82</c:v>
                </c:pt>
                <c:pt idx="2">
                  <c:v>10.15</c:v>
                </c:pt>
                <c:pt idx="3">
                  <c:v>6.52</c:v>
                </c:pt>
                <c:pt idx="4">
                  <c:v>1.28</c:v>
                </c:pt>
                <c:pt idx="5">
                  <c:v>0.15</c:v>
                </c:pt>
                <c:pt idx="6">
                  <c:v>2.8</c:v>
                </c:pt>
                <c:pt idx="7">
                  <c:v>11.28</c:v>
                </c:pt>
                <c:pt idx="8">
                  <c:v>11.82</c:v>
                </c:pt>
                <c:pt idx="9">
                  <c:v>1.23</c:v>
                </c:pt>
                <c:pt idx="10">
                  <c:v>0</c:v>
                </c:pt>
                <c:pt idx="11">
                  <c:v>4.0199999999999996</c:v>
                </c:pt>
                <c:pt idx="12">
                  <c:v>3.93</c:v>
                </c:pt>
                <c:pt idx="13">
                  <c:v>6.43</c:v>
                </c:pt>
                <c:pt idx="14">
                  <c:v>1.1000000000000001</c:v>
                </c:pt>
                <c:pt idx="15">
                  <c:v>7.0000000000000007E-2</c:v>
                </c:pt>
                <c:pt idx="16">
                  <c:v>1.8</c:v>
                </c:pt>
                <c:pt idx="17">
                  <c:v>6.62</c:v>
                </c:pt>
                <c:pt idx="18">
                  <c:v>3.47</c:v>
                </c:pt>
                <c:pt idx="19">
                  <c:v>6.1</c:v>
                </c:pt>
                <c:pt idx="20">
                  <c:v>0.17</c:v>
                </c:pt>
                <c:pt idx="21">
                  <c:v>7.92</c:v>
                </c:pt>
                <c:pt idx="22">
                  <c:v>8.4499999999999993</c:v>
                </c:pt>
                <c:pt idx="23">
                  <c:v>0</c:v>
                </c:pt>
                <c:pt idx="24">
                  <c:v>6.12</c:v>
                </c:pt>
                <c:pt idx="25">
                  <c:v>4.22</c:v>
                </c:pt>
                <c:pt idx="26">
                  <c:v>3.53</c:v>
                </c:pt>
                <c:pt idx="27">
                  <c:v>12.57</c:v>
                </c:pt>
                <c:pt idx="28">
                  <c:v>9.83</c:v>
                </c:pt>
                <c:pt idx="29">
                  <c:v>12.6</c:v>
                </c:pt>
                <c:pt idx="30">
                  <c:v>10.38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6-4112-85D8-C45812A25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64047"/>
        <c:axId val="1"/>
      </c:barChart>
      <c:catAx>
        <c:axId val="94976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(Jun!$B$10:$B$19,Jun!$B$21:$B$30,Jun!$B$32:$B$41)</c:f>
              <c:numCache>
                <c:formatCode>General</c:formatCode>
                <c:ptCount val="30"/>
                <c:pt idx="0">
                  <c:v>22.2</c:v>
                </c:pt>
                <c:pt idx="1">
                  <c:v>20.8</c:v>
                </c:pt>
                <c:pt idx="2">
                  <c:v>23.4</c:v>
                </c:pt>
                <c:pt idx="3">
                  <c:v>22.6</c:v>
                </c:pt>
                <c:pt idx="4">
                  <c:v>16.3</c:v>
                </c:pt>
                <c:pt idx="5">
                  <c:v>17.3</c:v>
                </c:pt>
                <c:pt idx="6">
                  <c:v>17.7</c:v>
                </c:pt>
                <c:pt idx="7">
                  <c:v>18.399999999999999</c:v>
                </c:pt>
                <c:pt idx="8">
                  <c:v>19.399999999999999</c:v>
                </c:pt>
                <c:pt idx="9">
                  <c:v>22.7</c:v>
                </c:pt>
                <c:pt idx="10">
                  <c:v>23.4</c:v>
                </c:pt>
                <c:pt idx="11">
                  <c:v>24.8</c:v>
                </c:pt>
                <c:pt idx="12">
                  <c:v>23.1</c:v>
                </c:pt>
                <c:pt idx="13">
                  <c:v>25.5</c:v>
                </c:pt>
                <c:pt idx="14">
                  <c:v>26.6</c:v>
                </c:pt>
                <c:pt idx="15">
                  <c:v>26.9</c:v>
                </c:pt>
                <c:pt idx="16">
                  <c:v>27.5</c:v>
                </c:pt>
                <c:pt idx="17">
                  <c:v>27.6</c:v>
                </c:pt>
                <c:pt idx="18">
                  <c:v>27.4</c:v>
                </c:pt>
                <c:pt idx="19">
                  <c:v>25.7</c:v>
                </c:pt>
                <c:pt idx="20">
                  <c:v>22.2</c:v>
                </c:pt>
                <c:pt idx="21">
                  <c:v>19.7</c:v>
                </c:pt>
                <c:pt idx="22">
                  <c:v>19.7</c:v>
                </c:pt>
                <c:pt idx="23">
                  <c:v>18.3</c:v>
                </c:pt>
                <c:pt idx="24">
                  <c:v>15.7</c:v>
                </c:pt>
                <c:pt idx="25">
                  <c:v>21.2</c:v>
                </c:pt>
                <c:pt idx="26">
                  <c:v>25.1</c:v>
                </c:pt>
                <c:pt idx="27">
                  <c:v>23.9</c:v>
                </c:pt>
                <c:pt idx="28">
                  <c:v>18.2</c:v>
                </c:pt>
                <c:pt idx="29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4-4661-BDF3-2B5C589CDE38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(Jun!$C$10:$C$19,Jun!$C$21:$C$30,Jun!$C$32:$C$41)</c:f>
              <c:numCache>
                <c:formatCode>General</c:formatCode>
                <c:ptCount val="30"/>
                <c:pt idx="0">
                  <c:v>8.9</c:v>
                </c:pt>
                <c:pt idx="1">
                  <c:v>12.6</c:v>
                </c:pt>
                <c:pt idx="2">
                  <c:v>12</c:v>
                </c:pt>
                <c:pt idx="3">
                  <c:v>12.8</c:v>
                </c:pt>
                <c:pt idx="4">
                  <c:v>11.5</c:v>
                </c:pt>
                <c:pt idx="5">
                  <c:v>10.9</c:v>
                </c:pt>
                <c:pt idx="6">
                  <c:v>12.1</c:v>
                </c:pt>
                <c:pt idx="7">
                  <c:v>11.8</c:v>
                </c:pt>
                <c:pt idx="8">
                  <c:v>11.7</c:v>
                </c:pt>
                <c:pt idx="9">
                  <c:v>9.6999999999999993</c:v>
                </c:pt>
                <c:pt idx="10">
                  <c:v>11.6</c:v>
                </c:pt>
                <c:pt idx="11">
                  <c:v>13.1</c:v>
                </c:pt>
                <c:pt idx="12">
                  <c:v>13.8</c:v>
                </c:pt>
                <c:pt idx="13">
                  <c:v>11.9</c:v>
                </c:pt>
                <c:pt idx="14">
                  <c:v>14.2</c:v>
                </c:pt>
                <c:pt idx="15">
                  <c:v>15.7</c:v>
                </c:pt>
                <c:pt idx="16">
                  <c:v>16.8</c:v>
                </c:pt>
                <c:pt idx="17">
                  <c:v>16.399999999999999</c:v>
                </c:pt>
                <c:pt idx="18">
                  <c:v>15.2</c:v>
                </c:pt>
                <c:pt idx="19">
                  <c:v>13.4</c:v>
                </c:pt>
                <c:pt idx="20">
                  <c:v>13.1</c:v>
                </c:pt>
                <c:pt idx="21">
                  <c:v>12.2</c:v>
                </c:pt>
                <c:pt idx="22">
                  <c:v>10.4</c:v>
                </c:pt>
                <c:pt idx="23">
                  <c:v>9.9</c:v>
                </c:pt>
                <c:pt idx="24">
                  <c:v>10.7</c:v>
                </c:pt>
                <c:pt idx="25">
                  <c:v>9.1999999999999993</c:v>
                </c:pt>
                <c:pt idx="26">
                  <c:v>13.3</c:v>
                </c:pt>
                <c:pt idx="27">
                  <c:v>13.4</c:v>
                </c:pt>
                <c:pt idx="28">
                  <c:v>10.5</c:v>
                </c:pt>
                <c:pt idx="29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4-4661-BDF3-2B5C589CDE38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(Jun!$E$10:$E$19,Jun!$E$21:$E$30,Jun!$E$32:$E$41)</c:f>
              <c:numCache>
                <c:formatCode>General</c:formatCode>
                <c:ptCount val="30"/>
                <c:pt idx="0">
                  <c:v>16.010000000000002</c:v>
                </c:pt>
                <c:pt idx="1">
                  <c:v>15.94</c:v>
                </c:pt>
                <c:pt idx="2">
                  <c:v>16.940000000000001</c:v>
                </c:pt>
                <c:pt idx="3">
                  <c:v>16.87</c:v>
                </c:pt>
                <c:pt idx="4">
                  <c:v>12.9</c:v>
                </c:pt>
                <c:pt idx="5">
                  <c:v>13.32</c:v>
                </c:pt>
                <c:pt idx="6">
                  <c:v>13.76</c:v>
                </c:pt>
                <c:pt idx="7">
                  <c:v>13.79</c:v>
                </c:pt>
                <c:pt idx="8">
                  <c:v>14.24</c:v>
                </c:pt>
                <c:pt idx="9">
                  <c:v>16.260000000000002</c:v>
                </c:pt>
                <c:pt idx="10">
                  <c:v>17.66</c:v>
                </c:pt>
                <c:pt idx="11">
                  <c:v>18.95</c:v>
                </c:pt>
                <c:pt idx="12">
                  <c:v>18.600000000000001</c:v>
                </c:pt>
                <c:pt idx="13">
                  <c:v>19.16</c:v>
                </c:pt>
                <c:pt idx="14">
                  <c:v>20.59</c:v>
                </c:pt>
                <c:pt idx="15">
                  <c:v>21.33</c:v>
                </c:pt>
                <c:pt idx="16">
                  <c:v>22.29</c:v>
                </c:pt>
                <c:pt idx="17">
                  <c:v>20.73</c:v>
                </c:pt>
                <c:pt idx="18">
                  <c:v>21.29</c:v>
                </c:pt>
                <c:pt idx="19">
                  <c:v>19.100000000000001</c:v>
                </c:pt>
                <c:pt idx="20">
                  <c:v>16.239999999999998</c:v>
                </c:pt>
                <c:pt idx="21">
                  <c:v>14.77</c:v>
                </c:pt>
                <c:pt idx="22">
                  <c:v>14.96</c:v>
                </c:pt>
                <c:pt idx="23">
                  <c:v>12.62</c:v>
                </c:pt>
                <c:pt idx="24">
                  <c:v>12.53</c:v>
                </c:pt>
                <c:pt idx="25">
                  <c:v>15.45</c:v>
                </c:pt>
                <c:pt idx="26">
                  <c:v>18.559999999999999</c:v>
                </c:pt>
                <c:pt idx="27">
                  <c:v>17.100000000000001</c:v>
                </c:pt>
                <c:pt idx="28">
                  <c:v>13.74</c:v>
                </c:pt>
                <c:pt idx="29">
                  <c:v>11.99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24-4661-BDF3-2B5C589CD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9903"/>
        <c:axId val="1"/>
      </c:lineChart>
      <c:catAx>
        <c:axId val="34369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6990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(Jun!$F$10:$F$19,Jun!$F$21:$F$30,Jun!$F$32:$F$41)</c:f>
              <c:numCache>
                <c:formatCode>General</c:formatCode>
                <c:ptCount val="30"/>
                <c:pt idx="0">
                  <c:v>29</c:v>
                </c:pt>
                <c:pt idx="1">
                  <c:v>27</c:v>
                </c:pt>
                <c:pt idx="2">
                  <c:v>21</c:v>
                </c:pt>
                <c:pt idx="3">
                  <c:v>24</c:v>
                </c:pt>
                <c:pt idx="4">
                  <c:v>24</c:v>
                </c:pt>
                <c:pt idx="5">
                  <c:v>31</c:v>
                </c:pt>
                <c:pt idx="6">
                  <c:v>26</c:v>
                </c:pt>
                <c:pt idx="7">
                  <c:v>16</c:v>
                </c:pt>
                <c:pt idx="8">
                  <c:v>19</c:v>
                </c:pt>
                <c:pt idx="9">
                  <c:v>27</c:v>
                </c:pt>
                <c:pt idx="10">
                  <c:v>29</c:v>
                </c:pt>
                <c:pt idx="11">
                  <c:v>19</c:v>
                </c:pt>
                <c:pt idx="12">
                  <c:v>34</c:v>
                </c:pt>
                <c:pt idx="13">
                  <c:v>26</c:v>
                </c:pt>
                <c:pt idx="14">
                  <c:v>23</c:v>
                </c:pt>
                <c:pt idx="15">
                  <c:v>19</c:v>
                </c:pt>
                <c:pt idx="16">
                  <c:v>34</c:v>
                </c:pt>
                <c:pt idx="17">
                  <c:v>35</c:v>
                </c:pt>
                <c:pt idx="18">
                  <c:v>16</c:v>
                </c:pt>
                <c:pt idx="19">
                  <c:v>56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27</c:v>
                </c:pt>
                <c:pt idx="24">
                  <c:v>18</c:v>
                </c:pt>
                <c:pt idx="25">
                  <c:v>18</c:v>
                </c:pt>
                <c:pt idx="26">
                  <c:v>29</c:v>
                </c:pt>
                <c:pt idx="27">
                  <c:v>72</c:v>
                </c:pt>
                <c:pt idx="28">
                  <c:v>64</c:v>
                </c:pt>
                <c:pt idx="29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A0-4462-B174-2E235F5E5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2303"/>
        <c:axId val="1"/>
      </c:lineChart>
      <c:catAx>
        <c:axId val="34372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7230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(Jun!$G$10:$G$19,Jun!$G$21:$G$30,Jun!$G$32:$G$41)</c:f>
              <c:numCache>
                <c:formatCode>General</c:formatCode>
                <c:ptCount val="30"/>
                <c:pt idx="0">
                  <c:v>0</c:v>
                </c:pt>
                <c:pt idx="1">
                  <c:v>1.6</c:v>
                </c:pt>
                <c:pt idx="2">
                  <c:v>0.8</c:v>
                </c:pt>
                <c:pt idx="3">
                  <c:v>19.2</c:v>
                </c:pt>
                <c:pt idx="4">
                  <c:v>9</c:v>
                </c:pt>
                <c:pt idx="5">
                  <c:v>3.4</c:v>
                </c:pt>
                <c:pt idx="6">
                  <c:v>6.6</c:v>
                </c:pt>
                <c:pt idx="7">
                  <c:v>3.8</c:v>
                </c:pt>
                <c:pt idx="8">
                  <c:v>6.8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22.6</c:v>
                </c:pt>
                <c:pt idx="20">
                  <c:v>14.6</c:v>
                </c:pt>
                <c:pt idx="21">
                  <c:v>20.2</c:v>
                </c:pt>
                <c:pt idx="22">
                  <c:v>16.8</c:v>
                </c:pt>
                <c:pt idx="23">
                  <c:v>49.8</c:v>
                </c:pt>
                <c:pt idx="24">
                  <c:v>3.4</c:v>
                </c:pt>
                <c:pt idx="25">
                  <c:v>0.2</c:v>
                </c:pt>
                <c:pt idx="26">
                  <c:v>2</c:v>
                </c:pt>
                <c:pt idx="27">
                  <c:v>22.4</c:v>
                </c:pt>
                <c:pt idx="28">
                  <c:v>23.6</c:v>
                </c:pt>
                <c:pt idx="29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F-4E9C-AC9D-087729E3BD12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(Jun!$H$10:$H$19,Jun!$H$21:$H$30,Jun!$H$32:$H$41)</c:f>
              <c:numCache>
                <c:formatCode>General</c:formatCode>
                <c:ptCount val="30"/>
                <c:pt idx="0">
                  <c:v>0</c:v>
                </c:pt>
                <c:pt idx="1">
                  <c:v>1.6</c:v>
                </c:pt>
                <c:pt idx="2">
                  <c:v>2.4000000000000004</c:v>
                </c:pt>
                <c:pt idx="3">
                  <c:v>21.6</c:v>
                </c:pt>
                <c:pt idx="4">
                  <c:v>30.6</c:v>
                </c:pt>
                <c:pt idx="5">
                  <c:v>34</c:v>
                </c:pt>
                <c:pt idx="6">
                  <c:v>40.6</c:v>
                </c:pt>
                <c:pt idx="7">
                  <c:v>44.4</c:v>
                </c:pt>
                <c:pt idx="8">
                  <c:v>51.199999999999996</c:v>
                </c:pt>
                <c:pt idx="9">
                  <c:v>51.4</c:v>
                </c:pt>
                <c:pt idx="10">
                  <c:v>51.4</c:v>
                </c:pt>
                <c:pt idx="11">
                  <c:v>51.4</c:v>
                </c:pt>
                <c:pt idx="12">
                  <c:v>51.4</c:v>
                </c:pt>
                <c:pt idx="13">
                  <c:v>51.4</c:v>
                </c:pt>
                <c:pt idx="14">
                  <c:v>51.4</c:v>
                </c:pt>
                <c:pt idx="15">
                  <c:v>51.4</c:v>
                </c:pt>
                <c:pt idx="16">
                  <c:v>51.4</c:v>
                </c:pt>
                <c:pt idx="17">
                  <c:v>54.4</c:v>
                </c:pt>
                <c:pt idx="18">
                  <c:v>54.4</c:v>
                </c:pt>
                <c:pt idx="19">
                  <c:v>77</c:v>
                </c:pt>
                <c:pt idx="20">
                  <c:v>91.6</c:v>
                </c:pt>
                <c:pt idx="21">
                  <c:v>111.8</c:v>
                </c:pt>
                <c:pt idx="22">
                  <c:v>128.6</c:v>
                </c:pt>
                <c:pt idx="23">
                  <c:v>178.39999999999998</c:v>
                </c:pt>
                <c:pt idx="24">
                  <c:v>181.79999999999998</c:v>
                </c:pt>
                <c:pt idx="25">
                  <c:v>181.99999999999997</c:v>
                </c:pt>
                <c:pt idx="26">
                  <c:v>183.99999999999997</c:v>
                </c:pt>
                <c:pt idx="27">
                  <c:v>206.39999999999998</c:v>
                </c:pt>
                <c:pt idx="28">
                  <c:v>229.99999999999997</c:v>
                </c:pt>
                <c:pt idx="29">
                  <c:v>241.59999999999997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F-4E9C-AC9D-087729E3B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427071"/>
        <c:axId val="1"/>
      </c:barChart>
      <c:catAx>
        <c:axId val="20274270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27427071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9047671151936579"/>
          <c:w val="0.93500076090556716"/>
          <c:h val="0.61624818432735995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(Jun!$J$10:$J$19,Jun!$J$21:$J$30,Jun!$J$32:$J$41)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C-4FCC-9E31-75772CB24D69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(Jun!$K$10:$K$19,Jun!$K$21:$K$30,Jun!$K$32:$K$41)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C-4FCC-9E31-75772CB24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84559"/>
        <c:axId val="1"/>
      </c:barChart>
      <c:catAx>
        <c:axId val="14118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6778829116948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18455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1356487617941962"/>
          <c:w val="0.2141369922184593"/>
          <c:h val="6.51651214833056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(Jan!$G$10:$G$19,Jan!$G$21:$G$30,Jan!$G$32:$G$42)</c:f>
              <c:numCache>
                <c:formatCode>General</c:formatCode>
                <c:ptCount val="31"/>
                <c:pt idx="0">
                  <c:v>4.5999999999999996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17.399999999999999</c:v>
                </c:pt>
                <c:pt idx="13">
                  <c:v>18.2</c:v>
                </c:pt>
                <c:pt idx="14">
                  <c:v>5.2</c:v>
                </c:pt>
                <c:pt idx="15">
                  <c:v>0</c:v>
                </c:pt>
                <c:pt idx="16">
                  <c:v>9.1999999999999993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13</c:v>
                </c:pt>
                <c:pt idx="22">
                  <c:v>10.8</c:v>
                </c:pt>
                <c:pt idx="23">
                  <c:v>0</c:v>
                </c:pt>
                <c:pt idx="24">
                  <c:v>13.4</c:v>
                </c:pt>
                <c:pt idx="25">
                  <c:v>0.2</c:v>
                </c:pt>
                <c:pt idx="26">
                  <c:v>11.6</c:v>
                </c:pt>
                <c:pt idx="27">
                  <c:v>15.4</c:v>
                </c:pt>
                <c:pt idx="28">
                  <c:v>37</c:v>
                </c:pt>
                <c:pt idx="29">
                  <c:v>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D-41C8-8CD9-B31E1671C121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(Jan!$H$10:$H$19,Jan!$H$21:$H$30,Jan!$H$32:$H$42)</c:f>
              <c:numCache>
                <c:formatCode>General</c:formatCode>
                <c:ptCount val="31"/>
                <c:pt idx="0">
                  <c:v>4.5999999999999996</c:v>
                </c:pt>
                <c:pt idx="1">
                  <c:v>4.5999999999999996</c:v>
                </c:pt>
                <c:pt idx="2">
                  <c:v>5.1999999999999993</c:v>
                </c:pt>
                <c:pt idx="3">
                  <c:v>5.1999999999999993</c:v>
                </c:pt>
                <c:pt idx="4">
                  <c:v>5.1999999999999993</c:v>
                </c:pt>
                <c:pt idx="5">
                  <c:v>5.3999999999999995</c:v>
                </c:pt>
                <c:pt idx="6">
                  <c:v>5.3999999999999995</c:v>
                </c:pt>
                <c:pt idx="7">
                  <c:v>5.3999999999999995</c:v>
                </c:pt>
                <c:pt idx="8">
                  <c:v>5.3999999999999995</c:v>
                </c:pt>
                <c:pt idx="9">
                  <c:v>5.3999999999999995</c:v>
                </c:pt>
                <c:pt idx="10">
                  <c:v>5.3999999999999995</c:v>
                </c:pt>
                <c:pt idx="11">
                  <c:v>8.3999999999999986</c:v>
                </c:pt>
                <c:pt idx="12">
                  <c:v>25.799999999999997</c:v>
                </c:pt>
                <c:pt idx="13">
                  <c:v>44</c:v>
                </c:pt>
                <c:pt idx="14">
                  <c:v>49.2</c:v>
                </c:pt>
                <c:pt idx="15">
                  <c:v>49.2</c:v>
                </c:pt>
                <c:pt idx="16">
                  <c:v>58.400000000000006</c:v>
                </c:pt>
                <c:pt idx="17">
                  <c:v>58.400000000000006</c:v>
                </c:pt>
                <c:pt idx="18">
                  <c:v>58.400000000000006</c:v>
                </c:pt>
                <c:pt idx="19">
                  <c:v>58.400000000000006</c:v>
                </c:pt>
                <c:pt idx="20">
                  <c:v>58.400000000000006</c:v>
                </c:pt>
                <c:pt idx="21">
                  <c:v>71.400000000000006</c:v>
                </c:pt>
                <c:pt idx="22">
                  <c:v>82.2</c:v>
                </c:pt>
                <c:pt idx="23">
                  <c:v>82.2</c:v>
                </c:pt>
                <c:pt idx="24">
                  <c:v>95.600000000000009</c:v>
                </c:pt>
                <c:pt idx="25">
                  <c:v>95.800000000000011</c:v>
                </c:pt>
                <c:pt idx="26">
                  <c:v>107.4</c:v>
                </c:pt>
                <c:pt idx="27">
                  <c:v>122.80000000000001</c:v>
                </c:pt>
                <c:pt idx="28">
                  <c:v>159.80000000000001</c:v>
                </c:pt>
                <c:pt idx="29">
                  <c:v>168.8</c:v>
                </c:pt>
                <c:pt idx="30">
                  <c:v>168.8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D-41C8-8CD9-B31E1671C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847"/>
        <c:axId val="1"/>
      </c:barChart>
      <c:catAx>
        <c:axId val="949758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8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(Jun!$I$10:$I$19,Jun!$I$21:$I$30,Jun!$I$32:$I$41)</c:f>
              <c:numCache>
                <c:formatCode>0.00</c:formatCode>
                <c:ptCount val="30"/>
                <c:pt idx="0">
                  <c:v>12.23</c:v>
                </c:pt>
                <c:pt idx="1">
                  <c:v>5.67</c:v>
                </c:pt>
                <c:pt idx="2">
                  <c:v>6.8</c:v>
                </c:pt>
                <c:pt idx="3">
                  <c:v>6.65</c:v>
                </c:pt>
                <c:pt idx="4">
                  <c:v>3.05</c:v>
                </c:pt>
                <c:pt idx="5">
                  <c:v>2.35</c:v>
                </c:pt>
                <c:pt idx="6">
                  <c:v>3.37</c:v>
                </c:pt>
                <c:pt idx="7">
                  <c:v>0.98</c:v>
                </c:pt>
                <c:pt idx="8">
                  <c:v>1.52</c:v>
                </c:pt>
                <c:pt idx="9">
                  <c:v>11.4</c:v>
                </c:pt>
                <c:pt idx="10">
                  <c:v>11.35</c:v>
                </c:pt>
                <c:pt idx="11">
                  <c:v>11.83</c:v>
                </c:pt>
                <c:pt idx="12">
                  <c:v>12.13</c:v>
                </c:pt>
                <c:pt idx="13">
                  <c:v>12.7</c:v>
                </c:pt>
                <c:pt idx="14">
                  <c:v>12.7</c:v>
                </c:pt>
                <c:pt idx="15">
                  <c:v>12.5</c:v>
                </c:pt>
                <c:pt idx="16">
                  <c:v>11.18</c:v>
                </c:pt>
                <c:pt idx="17">
                  <c:v>8.48</c:v>
                </c:pt>
                <c:pt idx="18">
                  <c:v>9.48</c:v>
                </c:pt>
                <c:pt idx="19">
                  <c:v>6.5</c:v>
                </c:pt>
                <c:pt idx="20">
                  <c:v>5.55</c:v>
                </c:pt>
                <c:pt idx="21">
                  <c:v>3.53</c:v>
                </c:pt>
                <c:pt idx="22">
                  <c:v>5.97</c:v>
                </c:pt>
                <c:pt idx="23">
                  <c:v>2.62</c:v>
                </c:pt>
                <c:pt idx="24">
                  <c:v>1.03</c:v>
                </c:pt>
                <c:pt idx="25">
                  <c:v>11.25</c:v>
                </c:pt>
                <c:pt idx="26">
                  <c:v>10.43</c:v>
                </c:pt>
                <c:pt idx="27">
                  <c:v>8.6</c:v>
                </c:pt>
                <c:pt idx="28">
                  <c:v>3.78</c:v>
                </c:pt>
                <c:pt idx="29">
                  <c:v>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E-41EA-8F7A-4703DD08F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4271"/>
        <c:axId val="1"/>
      </c:barChart>
      <c:catAx>
        <c:axId val="37204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04271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(Jul!$B$10:$B$19,Jul!$B$21:$B$30,Jul!$B$32:$B$42)</c:f>
              <c:numCache>
                <c:formatCode>General</c:formatCode>
                <c:ptCount val="31"/>
                <c:pt idx="0">
                  <c:v>17.600000000000001</c:v>
                </c:pt>
                <c:pt idx="1">
                  <c:v>20.9</c:v>
                </c:pt>
                <c:pt idx="2">
                  <c:v>20.3</c:v>
                </c:pt>
                <c:pt idx="3">
                  <c:v>16.899999999999999</c:v>
                </c:pt>
                <c:pt idx="4">
                  <c:v>22.1</c:v>
                </c:pt>
                <c:pt idx="5">
                  <c:v>20.399999999999999</c:v>
                </c:pt>
                <c:pt idx="6">
                  <c:v>19.3</c:v>
                </c:pt>
                <c:pt idx="7">
                  <c:v>15.6</c:v>
                </c:pt>
                <c:pt idx="8">
                  <c:v>20.399999999999999</c:v>
                </c:pt>
                <c:pt idx="9">
                  <c:v>23.5</c:v>
                </c:pt>
                <c:pt idx="10">
                  <c:v>20.399999999999999</c:v>
                </c:pt>
                <c:pt idx="11">
                  <c:v>24</c:v>
                </c:pt>
                <c:pt idx="12">
                  <c:v>15.7</c:v>
                </c:pt>
                <c:pt idx="13">
                  <c:v>16.899999999999999</c:v>
                </c:pt>
                <c:pt idx="14">
                  <c:v>13.9</c:v>
                </c:pt>
                <c:pt idx="15">
                  <c:v>18</c:v>
                </c:pt>
                <c:pt idx="16">
                  <c:v>20</c:v>
                </c:pt>
                <c:pt idx="17">
                  <c:v>22.4</c:v>
                </c:pt>
                <c:pt idx="18">
                  <c:v>24</c:v>
                </c:pt>
                <c:pt idx="19">
                  <c:v>23.7</c:v>
                </c:pt>
                <c:pt idx="20">
                  <c:v>25.1</c:v>
                </c:pt>
                <c:pt idx="21">
                  <c:v>25.5</c:v>
                </c:pt>
                <c:pt idx="22">
                  <c:v>25.8</c:v>
                </c:pt>
                <c:pt idx="23">
                  <c:v>23.1</c:v>
                </c:pt>
                <c:pt idx="24">
                  <c:v>20.8</c:v>
                </c:pt>
                <c:pt idx="25">
                  <c:v>19.7</c:v>
                </c:pt>
                <c:pt idx="26">
                  <c:v>23.3</c:v>
                </c:pt>
                <c:pt idx="27">
                  <c:v>20.2</c:v>
                </c:pt>
                <c:pt idx="28">
                  <c:v>23.4</c:v>
                </c:pt>
                <c:pt idx="29">
                  <c:v>23.6</c:v>
                </c:pt>
                <c:pt idx="3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D-4EA3-A403-C8DF02E29C7B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(Jul!$C$10:$C$19,Jul!$C$21:$C$30,Jul!$C$32:$C$42)</c:f>
              <c:numCache>
                <c:formatCode>General</c:formatCode>
                <c:ptCount val="31"/>
                <c:pt idx="0">
                  <c:v>10.9</c:v>
                </c:pt>
                <c:pt idx="1">
                  <c:v>10.6</c:v>
                </c:pt>
                <c:pt idx="2">
                  <c:v>12.3</c:v>
                </c:pt>
                <c:pt idx="3">
                  <c:v>11.7</c:v>
                </c:pt>
                <c:pt idx="4">
                  <c:v>11.7</c:v>
                </c:pt>
                <c:pt idx="5">
                  <c:v>13.4</c:v>
                </c:pt>
                <c:pt idx="6">
                  <c:v>12.5</c:v>
                </c:pt>
                <c:pt idx="7">
                  <c:v>10.1</c:v>
                </c:pt>
                <c:pt idx="8">
                  <c:v>9.9</c:v>
                </c:pt>
                <c:pt idx="9">
                  <c:v>10.4</c:v>
                </c:pt>
                <c:pt idx="10">
                  <c:v>10.6</c:v>
                </c:pt>
                <c:pt idx="11">
                  <c:v>11.8</c:v>
                </c:pt>
                <c:pt idx="12">
                  <c:v>8.6999999999999993</c:v>
                </c:pt>
                <c:pt idx="13">
                  <c:v>8.9</c:v>
                </c:pt>
                <c:pt idx="14">
                  <c:v>10.3</c:v>
                </c:pt>
                <c:pt idx="15">
                  <c:v>12.2</c:v>
                </c:pt>
                <c:pt idx="16">
                  <c:v>11.5</c:v>
                </c:pt>
                <c:pt idx="17">
                  <c:v>15.3</c:v>
                </c:pt>
                <c:pt idx="18">
                  <c:v>13.4</c:v>
                </c:pt>
                <c:pt idx="19">
                  <c:v>14</c:v>
                </c:pt>
                <c:pt idx="20">
                  <c:v>13.1</c:v>
                </c:pt>
                <c:pt idx="21">
                  <c:v>13.4</c:v>
                </c:pt>
                <c:pt idx="22">
                  <c:v>14</c:v>
                </c:pt>
                <c:pt idx="23">
                  <c:v>16.2</c:v>
                </c:pt>
                <c:pt idx="24">
                  <c:v>13.8</c:v>
                </c:pt>
                <c:pt idx="25">
                  <c:v>13</c:v>
                </c:pt>
                <c:pt idx="26">
                  <c:v>12.4</c:v>
                </c:pt>
                <c:pt idx="27">
                  <c:v>13.3</c:v>
                </c:pt>
                <c:pt idx="28">
                  <c:v>12.8</c:v>
                </c:pt>
                <c:pt idx="29">
                  <c:v>13.8</c:v>
                </c:pt>
                <c:pt idx="30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D-4EA3-A403-C8DF02E29C7B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(Jul!$E$10:$E$19,Jul!$E$21:$E$30,Jul!$E$32:$E$42)</c:f>
              <c:numCache>
                <c:formatCode>General</c:formatCode>
                <c:ptCount val="31"/>
                <c:pt idx="0">
                  <c:v>13.44</c:v>
                </c:pt>
                <c:pt idx="1">
                  <c:v>15.75</c:v>
                </c:pt>
                <c:pt idx="2">
                  <c:v>15.11</c:v>
                </c:pt>
                <c:pt idx="3">
                  <c:v>14.09</c:v>
                </c:pt>
                <c:pt idx="4">
                  <c:v>16.04</c:v>
                </c:pt>
                <c:pt idx="5">
                  <c:v>16.22</c:v>
                </c:pt>
                <c:pt idx="6">
                  <c:v>14.62</c:v>
                </c:pt>
                <c:pt idx="7">
                  <c:v>13.09</c:v>
                </c:pt>
                <c:pt idx="8">
                  <c:v>14.32</c:v>
                </c:pt>
                <c:pt idx="9">
                  <c:v>14.3</c:v>
                </c:pt>
                <c:pt idx="10">
                  <c:v>15.4</c:v>
                </c:pt>
                <c:pt idx="11">
                  <c:v>17.399999999999999</c:v>
                </c:pt>
                <c:pt idx="12">
                  <c:v>11.3</c:v>
                </c:pt>
                <c:pt idx="13">
                  <c:v>11.8</c:v>
                </c:pt>
                <c:pt idx="14">
                  <c:v>12</c:v>
                </c:pt>
                <c:pt idx="15">
                  <c:v>14.4</c:v>
                </c:pt>
                <c:pt idx="16">
                  <c:v>15.1</c:v>
                </c:pt>
                <c:pt idx="17">
                  <c:v>18.2</c:v>
                </c:pt>
                <c:pt idx="18">
                  <c:v>19.2</c:v>
                </c:pt>
                <c:pt idx="19">
                  <c:v>18.899999999999999</c:v>
                </c:pt>
                <c:pt idx="20">
                  <c:v>18.899999999999999</c:v>
                </c:pt>
                <c:pt idx="21">
                  <c:v>19.399999999999999</c:v>
                </c:pt>
                <c:pt idx="22">
                  <c:v>20.3</c:v>
                </c:pt>
                <c:pt idx="23">
                  <c:v>18.899999999999999</c:v>
                </c:pt>
                <c:pt idx="24">
                  <c:v>16.3</c:v>
                </c:pt>
                <c:pt idx="25">
                  <c:v>15.8</c:v>
                </c:pt>
                <c:pt idx="26">
                  <c:v>17</c:v>
                </c:pt>
                <c:pt idx="27">
                  <c:v>16.3</c:v>
                </c:pt>
                <c:pt idx="28">
                  <c:v>17.7</c:v>
                </c:pt>
                <c:pt idx="29">
                  <c:v>17.399999999999999</c:v>
                </c:pt>
                <c:pt idx="30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D-4EA3-A403-C8DF02E2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54047"/>
        <c:axId val="1"/>
      </c:lineChart>
      <c:catAx>
        <c:axId val="94975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(Jul!$F$10:$F$19,Jul!$F$21:$F$30,Jul!$F$32:$F$42)</c:f>
              <c:numCache>
                <c:formatCode>General</c:formatCode>
                <c:ptCount val="31"/>
                <c:pt idx="0">
                  <c:v>27</c:v>
                </c:pt>
                <c:pt idx="1">
                  <c:v>18</c:v>
                </c:pt>
                <c:pt idx="2">
                  <c:v>19</c:v>
                </c:pt>
                <c:pt idx="3">
                  <c:v>39</c:v>
                </c:pt>
                <c:pt idx="4">
                  <c:v>29</c:v>
                </c:pt>
                <c:pt idx="5">
                  <c:v>34</c:v>
                </c:pt>
                <c:pt idx="6">
                  <c:v>21</c:v>
                </c:pt>
                <c:pt idx="7">
                  <c:v>26</c:v>
                </c:pt>
                <c:pt idx="8">
                  <c:v>19</c:v>
                </c:pt>
                <c:pt idx="9">
                  <c:v>45</c:v>
                </c:pt>
                <c:pt idx="10">
                  <c:v>19</c:v>
                </c:pt>
                <c:pt idx="11">
                  <c:v>29</c:v>
                </c:pt>
                <c:pt idx="12">
                  <c:v>45</c:v>
                </c:pt>
                <c:pt idx="13">
                  <c:v>40</c:v>
                </c:pt>
                <c:pt idx="14">
                  <c:v>34</c:v>
                </c:pt>
                <c:pt idx="15">
                  <c:v>23</c:v>
                </c:pt>
                <c:pt idx="16">
                  <c:v>27</c:v>
                </c:pt>
                <c:pt idx="17">
                  <c:v>37</c:v>
                </c:pt>
                <c:pt idx="18">
                  <c:v>29</c:v>
                </c:pt>
                <c:pt idx="19">
                  <c:v>29</c:v>
                </c:pt>
                <c:pt idx="20">
                  <c:v>23</c:v>
                </c:pt>
                <c:pt idx="21">
                  <c:v>23</c:v>
                </c:pt>
                <c:pt idx="22">
                  <c:v>14</c:v>
                </c:pt>
                <c:pt idx="23">
                  <c:v>29</c:v>
                </c:pt>
                <c:pt idx="24">
                  <c:v>29</c:v>
                </c:pt>
                <c:pt idx="25">
                  <c:v>29</c:v>
                </c:pt>
                <c:pt idx="26">
                  <c:v>21</c:v>
                </c:pt>
                <c:pt idx="27">
                  <c:v>32</c:v>
                </c:pt>
                <c:pt idx="28">
                  <c:v>19</c:v>
                </c:pt>
                <c:pt idx="29">
                  <c:v>68</c:v>
                </c:pt>
                <c:pt idx="3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A1-4A3B-B2A4-DE18A339D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67247"/>
        <c:axId val="1"/>
      </c:lineChart>
      <c:catAx>
        <c:axId val="94976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72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(Jul!$G$10:$G$19,Jul!$G$21:$G$30,Jul!$G$32:$G$42)</c:f>
              <c:numCache>
                <c:formatCode>General</c:formatCode>
                <c:ptCount val="31"/>
                <c:pt idx="0">
                  <c:v>2.2000000000000002</c:v>
                </c:pt>
                <c:pt idx="1">
                  <c:v>0</c:v>
                </c:pt>
                <c:pt idx="2">
                  <c:v>7.4</c:v>
                </c:pt>
                <c:pt idx="3">
                  <c:v>3.6</c:v>
                </c:pt>
                <c:pt idx="4">
                  <c:v>0</c:v>
                </c:pt>
                <c:pt idx="5">
                  <c:v>15</c:v>
                </c:pt>
                <c:pt idx="6">
                  <c:v>16.8</c:v>
                </c:pt>
                <c:pt idx="7">
                  <c:v>33.799999999999997</c:v>
                </c:pt>
                <c:pt idx="8">
                  <c:v>10.6</c:v>
                </c:pt>
                <c:pt idx="9">
                  <c:v>10</c:v>
                </c:pt>
                <c:pt idx="10">
                  <c:v>0.2</c:v>
                </c:pt>
                <c:pt idx="11">
                  <c:v>7.8</c:v>
                </c:pt>
                <c:pt idx="12">
                  <c:v>51.6</c:v>
                </c:pt>
                <c:pt idx="13">
                  <c:v>6.8</c:v>
                </c:pt>
                <c:pt idx="14">
                  <c:v>36.200000000000003</c:v>
                </c:pt>
                <c:pt idx="15">
                  <c:v>16</c:v>
                </c:pt>
                <c:pt idx="16">
                  <c:v>1.6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5.4</c:v>
                </c:pt>
                <c:pt idx="24">
                  <c:v>16.2</c:v>
                </c:pt>
                <c:pt idx="25">
                  <c:v>16.399999999999999</c:v>
                </c:pt>
                <c:pt idx="26">
                  <c:v>0.4</c:v>
                </c:pt>
                <c:pt idx="27">
                  <c:v>9.4</c:v>
                </c:pt>
                <c:pt idx="28">
                  <c:v>0</c:v>
                </c:pt>
                <c:pt idx="29">
                  <c:v>37.6</c:v>
                </c:pt>
                <c:pt idx="30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A-424F-93CB-92C5C03CBC0A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(Jul!$H$10:$H$19,Jul!$H$21:$H$30,Jul!$H$32:$H$42)</c:f>
              <c:numCache>
                <c:formatCode>General</c:formatCode>
                <c:ptCount val="31"/>
                <c:pt idx="0">
                  <c:v>2.2000000000000002</c:v>
                </c:pt>
                <c:pt idx="1">
                  <c:v>2.2000000000000002</c:v>
                </c:pt>
                <c:pt idx="2">
                  <c:v>9.6000000000000014</c:v>
                </c:pt>
                <c:pt idx="3">
                  <c:v>13.200000000000001</c:v>
                </c:pt>
                <c:pt idx="4">
                  <c:v>13.200000000000001</c:v>
                </c:pt>
                <c:pt idx="5">
                  <c:v>28.200000000000003</c:v>
                </c:pt>
                <c:pt idx="6">
                  <c:v>45</c:v>
                </c:pt>
                <c:pt idx="7">
                  <c:v>78.8</c:v>
                </c:pt>
                <c:pt idx="8">
                  <c:v>89.399999999999991</c:v>
                </c:pt>
                <c:pt idx="9">
                  <c:v>99.399999999999991</c:v>
                </c:pt>
                <c:pt idx="10">
                  <c:v>99.6</c:v>
                </c:pt>
                <c:pt idx="11">
                  <c:v>107.39999999999999</c:v>
                </c:pt>
                <c:pt idx="12">
                  <c:v>159</c:v>
                </c:pt>
                <c:pt idx="13">
                  <c:v>165.8</c:v>
                </c:pt>
                <c:pt idx="14">
                  <c:v>202</c:v>
                </c:pt>
                <c:pt idx="15">
                  <c:v>218</c:v>
                </c:pt>
                <c:pt idx="16">
                  <c:v>219.6</c:v>
                </c:pt>
                <c:pt idx="17">
                  <c:v>224.6</c:v>
                </c:pt>
                <c:pt idx="18">
                  <c:v>224.6</c:v>
                </c:pt>
                <c:pt idx="19">
                  <c:v>224.6</c:v>
                </c:pt>
                <c:pt idx="20">
                  <c:v>224.6</c:v>
                </c:pt>
                <c:pt idx="21">
                  <c:v>224.6</c:v>
                </c:pt>
                <c:pt idx="22">
                  <c:v>224.6</c:v>
                </c:pt>
                <c:pt idx="23">
                  <c:v>230</c:v>
                </c:pt>
                <c:pt idx="24">
                  <c:v>246.2</c:v>
                </c:pt>
                <c:pt idx="25">
                  <c:v>262.59999999999997</c:v>
                </c:pt>
                <c:pt idx="26">
                  <c:v>262.99999999999994</c:v>
                </c:pt>
                <c:pt idx="27">
                  <c:v>272.39999999999992</c:v>
                </c:pt>
                <c:pt idx="28">
                  <c:v>272.39999999999992</c:v>
                </c:pt>
                <c:pt idx="29">
                  <c:v>309.99999999999994</c:v>
                </c:pt>
                <c:pt idx="30">
                  <c:v>335.19999999999993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A-424F-93CB-92C5C03CB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847"/>
        <c:axId val="1"/>
      </c:barChart>
      <c:catAx>
        <c:axId val="949758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8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8449197860962566"/>
          <c:w val="0.93500076090556716"/>
          <c:h val="0.63101604278074863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(Jul!$J$10:$J$19,Jul!$J$21:$J$30,Jul!$J$32:$J$42)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7-4B8B-ABA5-95D957AEABA1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(Jul!$K$10:$K$19,Jul!$K$21:$K$30,Jul!$K$32:$K$42)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7-4B8B-ABA5-95D957AEA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047"/>
        <c:axId val="1"/>
      </c:barChart>
      <c:catAx>
        <c:axId val="949758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7058823529411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047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1749260012453815"/>
          <c:w val="0.2141369922184593"/>
          <c:h val="6.2202888144036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(Jul!$I$10:$I$19,Jul!$I$21:$I$30,Jul!$I$32:$I$42)</c:f>
              <c:numCache>
                <c:formatCode>0.00</c:formatCode>
                <c:ptCount val="31"/>
                <c:pt idx="0">
                  <c:v>1.85</c:v>
                </c:pt>
                <c:pt idx="1">
                  <c:v>11.6</c:v>
                </c:pt>
                <c:pt idx="2">
                  <c:v>4.93</c:v>
                </c:pt>
                <c:pt idx="3">
                  <c:v>0.83</c:v>
                </c:pt>
                <c:pt idx="4">
                  <c:v>4.2</c:v>
                </c:pt>
                <c:pt idx="5">
                  <c:v>2.95</c:v>
                </c:pt>
                <c:pt idx="6">
                  <c:v>2.42</c:v>
                </c:pt>
                <c:pt idx="7">
                  <c:v>0.37</c:v>
                </c:pt>
                <c:pt idx="8">
                  <c:v>6.77</c:v>
                </c:pt>
                <c:pt idx="9">
                  <c:v>11.5</c:v>
                </c:pt>
                <c:pt idx="10">
                  <c:v>5.72</c:v>
                </c:pt>
                <c:pt idx="11">
                  <c:v>7.43</c:v>
                </c:pt>
                <c:pt idx="12">
                  <c:v>0.75</c:v>
                </c:pt>
                <c:pt idx="13">
                  <c:v>3.27</c:v>
                </c:pt>
                <c:pt idx="14">
                  <c:v>0</c:v>
                </c:pt>
                <c:pt idx="15">
                  <c:v>2.83</c:v>
                </c:pt>
                <c:pt idx="16">
                  <c:v>1.73</c:v>
                </c:pt>
                <c:pt idx="17">
                  <c:v>9.7799999999999994</c:v>
                </c:pt>
                <c:pt idx="18">
                  <c:v>12.55</c:v>
                </c:pt>
                <c:pt idx="19">
                  <c:v>12.25</c:v>
                </c:pt>
                <c:pt idx="20">
                  <c:v>12.1</c:v>
                </c:pt>
                <c:pt idx="21">
                  <c:v>12.18</c:v>
                </c:pt>
                <c:pt idx="22">
                  <c:v>11.2</c:v>
                </c:pt>
                <c:pt idx="23">
                  <c:v>3.35</c:v>
                </c:pt>
                <c:pt idx="24">
                  <c:v>3.55</c:v>
                </c:pt>
                <c:pt idx="25">
                  <c:v>4.28</c:v>
                </c:pt>
                <c:pt idx="26">
                  <c:v>7.3</c:v>
                </c:pt>
                <c:pt idx="27">
                  <c:v>3.77</c:v>
                </c:pt>
                <c:pt idx="28">
                  <c:v>8.4499999999999993</c:v>
                </c:pt>
                <c:pt idx="29">
                  <c:v>6.33</c:v>
                </c:pt>
                <c:pt idx="30">
                  <c:v>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2-4DDF-BED6-7A2B87330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64047"/>
        <c:axId val="1"/>
      </c:barChart>
      <c:catAx>
        <c:axId val="94976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(Aug!$B$10:$B$19,Aug!$B$21:$B$30,Aug!$B$32:$B$42)</c:f>
              <c:numCache>
                <c:formatCode>General</c:formatCode>
                <c:ptCount val="31"/>
                <c:pt idx="0">
                  <c:v>14.1</c:v>
                </c:pt>
                <c:pt idx="1">
                  <c:v>18.100000000000001</c:v>
                </c:pt>
                <c:pt idx="2">
                  <c:v>16.8</c:v>
                </c:pt>
                <c:pt idx="3">
                  <c:v>14.4</c:v>
                </c:pt>
                <c:pt idx="4">
                  <c:v>17.7</c:v>
                </c:pt>
                <c:pt idx="5">
                  <c:v>20.7</c:v>
                </c:pt>
                <c:pt idx="6">
                  <c:v>18.600000000000001</c:v>
                </c:pt>
                <c:pt idx="7">
                  <c:v>18.100000000000001</c:v>
                </c:pt>
                <c:pt idx="8">
                  <c:v>18.600000000000001</c:v>
                </c:pt>
                <c:pt idx="9">
                  <c:v>24.7</c:v>
                </c:pt>
                <c:pt idx="10">
                  <c:v>25.6</c:v>
                </c:pt>
                <c:pt idx="11">
                  <c:v>28.2</c:v>
                </c:pt>
                <c:pt idx="12">
                  <c:v>27.1</c:v>
                </c:pt>
                <c:pt idx="13">
                  <c:v>28.1</c:v>
                </c:pt>
                <c:pt idx="14">
                  <c:v>27.7</c:v>
                </c:pt>
                <c:pt idx="15">
                  <c:v>20.100000000000001</c:v>
                </c:pt>
                <c:pt idx="16">
                  <c:v>17.2</c:v>
                </c:pt>
                <c:pt idx="17">
                  <c:v>19.600000000000001</c:v>
                </c:pt>
                <c:pt idx="18">
                  <c:v>19.100000000000001</c:v>
                </c:pt>
                <c:pt idx="19">
                  <c:v>22</c:v>
                </c:pt>
                <c:pt idx="20">
                  <c:v>24.6</c:v>
                </c:pt>
                <c:pt idx="21">
                  <c:v>19.399999999999999</c:v>
                </c:pt>
                <c:pt idx="22">
                  <c:v>18</c:v>
                </c:pt>
                <c:pt idx="23">
                  <c:v>15.6</c:v>
                </c:pt>
                <c:pt idx="24">
                  <c:v>15.5</c:v>
                </c:pt>
                <c:pt idx="25">
                  <c:v>19.3</c:v>
                </c:pt>
                <c:pt idx="26">
                  <c:v>16.7</c:v>
                </c:pt>
                <c:pt idx="27">
                  <c:v>16.3</c:v>
                </c:pt>
                <c:pt idx="28">
                  <c:v>14.6</c:v>
                </c:pt>
                <c:pt idx="29">
                  <c:v>16.5</c:v>
                </c:pt>
                <c:pt idx="3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3-4C85-8595-A14AAA64CAFA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(Aug!$C$10:$C$19,Aug!$C$21:$C$30,Aug!$C$32:$C$42)</c:f>
              <c:numCache>
                <c:formatCode>General</c:formatCode>
                <c:ptCount val="31"/>
                <c:pt idx="0">
                  <c:v>9.3000000000000007</c:v>
                </c:pt>
                <c:pt idx="1">
                  <c:v>8.6999999999999993</c:v>
                </c:pt>
                <c:pt idx="2">
                  <c:v>9.8000000000000007</c:v>
                </c:pt>
                <c:pt idx="3">
                  <c:v>10</c:v>
                </c:pt>
                <c:pt idx="4">
                  <c:v>10.7</c:v>
                </c:pt>
                <c:pt idx="5">
                  <c:v>12.3</c:v>
                </c:pt>
                <c:pt idx="6">
                  <c:v>10.5</c:v>
                </c:pt>
                <c:pt idx="7">
                  <c:v>10.7</c:v>
                </c:pt>
                <c:pt idx="8">
                  <c:v>9.6</c:v>
                </c:pt>
                <c:pt idx="9">
                  <c:v>11.9</c:v>
                </c:pt>
                <c:pt idx="10">
                  <c:v>14.1</c:v>
                </c:pt>
                <c:pt idx="11">
                  <c:v>15.9</c:v>
                </c:pt>
                <c:pt idx="12">
                  <c:v>15.1</c:v>
                </c:pt>
                <c:pt idx="13">
                  <c:v>17.2</c:v>
                </c:pt>
                <c:pt idx="14">
                  <c:v>17.8</c:v>
                </c:pt>
                <c:pt idx="15">
                  <c:v>12.9</c:v>
                </c:pt>
                <c:pt idx="16">
                  <c:v>10.5</c:v>
                </c:pt>
                <c:pt idx="17">
                  <c:v>10.8</c:v>
                </c:pt>
                <c:pt idx="18">
                  <c:v>12.4</c:v>
                </c:pt>
                <c:pt idx="19">
                  <c:v>13.4</c:v>
                </c:pt>
                <c:pt idx="20">
                  <c:v>13.8</c:v>
                </c:pt>
                <c:pt idx="21">
                  <c:v>12.9</c:v>
                </c:pt>
                <c:pt idx="22">
                  <c:v>11.2</c:v>
                </c:pt>
                <c:pt idx="23">
                  <c:v>12.5</c:v>
                </c:pt>
                <c:pt idx="24">
                  <c:v>10.4</c:v>
                </c:pt>
                <c:pt idx="25">
                  <c:v>10.3</c:v>
                </c:pt>
                <c:pt idx="26">
                  <c:v>10</c:v>
                </c:pt>
                <c:pt idx="27">
                  <c:v>6.9</c:v>
                </c:pt>
                <c:pt idx="28">
                  <c:v>8.3000000000000007</c:v>
                </c:pt>
                <c:pt idx="29">
                  <c:v>9.4</c:v>
                </c:pt>
                <c:pt idx="30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3-4C85-8595-A14AAA64CAFA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(Aug!$E$10:$E$19,Aug!$E$21:$E$30,Aug!$E$32:$E$42)</c:f>
              <c:numCache>
                <c:formatCode>General</c:formatCode>
                <c:ptCount val="31"/>
                <c:pt idx="0">
                  <c:v>11.6</c:v>
                </c:pt>
                <c:pt idx="1">
                  <c:v>12.7</c:v>
                </c:pt>
                <c:pt idx="2">
                  <c:v>12.5</c:v>
                </c:pt>
                <c:pt idx="3">
                  <c:v>11.9</c:v>
                </c:pt>
                <c:pt idx="4">
                  <c:v>13.7</c:v>
                </c:pt>
                <c:pt idx="5">
                  <c:v>15.7</c:v>
                </c:pt>
                <c:pt idx="6">
                  <c:v>13.8</c:v>
                </c:pt>
                <c:pt idx="7">
                  <c:v>13.5</c:v>
                </c:pt>
                <c:pt idx="8">
                  <c:v>14.3</c:v>
                </c:pt>
                <c:pt idx="9">
                  <c:v>17.8</c:v>
                </c:pt>
                <c:pt idx="10">
                  <c:v>20.100000000000001</c:v>
                </c:pt>
                <c:pt idx="11">
                  <c:v>15.1</c:v>
                </c:pt>
                <c:pt idx="12">
                  <c:v>20.8</c:v>
                </c:pt>
                <c:pt idx="13">
                  <c:v>22.4</c:v>
                </c:pt>
                <c:pt idx="14">
                  <c:v>22.2</c:v>
                </c:pt>
                <c:pt idx="15">
                  <c:v>16.100000000000001</c:v>
                </c:pt>
                <c:pt idx="16">
                  <c:v>13.6</c:v>
                </c:pt>
                <c:pt idx="17">
                  <c:v>14.6</c:v>
                </c:pt>
                <c:pt idx="18">
                  <c:v>15.3</c:v>
                </c:pt>
                <c:pt idx="19">
                  <c:v>17.2</c:v>
                </c:pt>
                <c:pt idx="20">
                  <c:v>19</c:v>
                </c:pt>
                <c:pt idx="21">
                  <c:v>15.9</c:v>
                </c:pt>
                <c:pt idx="22">
                  <c:v>14.4</c:v>
                </c:pt>
                <c:pt idx="23">
                  <c:v>13.5</c:v>
                </c:pt>
                <c:pt idx="24">
                  <c:v>12.8</c:v>
                </c:pt>
                <c:pt idx="25">
                  <c:v>14.6</c:v>
                </c:pt>
                <c:pt idx="26">
                  <c:v>12.7</c:v>
                </c:pt>
                <c:pt idx="27">
                  <c:v>11.3</c:v>
                </c:pt>
                <c:pt idx="28">
                  <c:v>11.5</c:v>
                </c:pt>
                <c:pt idx="29">
                  <c:v>12.7</c:v>
                </c:pt>
                <c:pt idx="30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C3-4C85-8595-A14AAA64C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54047"/>
        <c:axId val="1"/>
      </c:lineChart>
      <c:catAx>
        <c:axId val="94975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(Aug!$F$10:$F$19,Aug!$F$21:$F$30,Aug!$F$32:$F$42)</c:f>
              <c:numCache>
                <c:formatCode>General</c:formatCode>
                <c:ptCount val="31"/>
                <c:pt idx="0">
                  <c:v>27</c:v>
                </c:pt>
                <c:pt idx="1">
                  <c:v>23</c:v>
                </c:pt>
                <c:pt idx="2">
                  <c:v>26</c:v>
                </c:pt>
                <c:pt idx="3">
                  <c:v>21</c:v>
                </c:pt>
                <c:pt idx="4">
                  <c:v>31</c:v>
                </c:pt>
                <c:pt idx="5">
                  <c:v>42</c:v>
                </c:pt>
                <c:pt idx="6">
                  <c:v>40</c:v>
                </c:pt>
                <c:pt idx="7">
                  <c:v>42</c:v>
                </c:pt>
                <c:pt idx="8">
                  <c:v>23</c:v>
                </c:pt>
                <c:pt idx="9">
                  <c:v>29</c:v>
                </c:pt>
                <c:pt idx="10">
                  <c:v>19</c:v>
                </c:pt>
                <c:pt idx="11">
                  <c:v>63</c:v>
                </c:pt>
                <c:pt idx="12">
                  <c:v>18</c:v>
                </c:pt>
                <c:pt idx="13">
                  <c:v>23</c:v>
                </c:pt>
                <c:pt idx="14">
                  <c:v>42</c:v>
                </c:pt>
                <c:pt idx="15">
                  <c:v>45</c:v>
                </c:pt>
                <c:pt idx="16">
                  <c:v>27</c:v>
                </c:pt>
                <c:pt idx="17">
                  <c:v>19</c:v>
                </c:pt>
                <c:pt idx="18">
                  <c:v>13</c:v>
                </c:pt>
                <c:pt idx="19">
                  <c:v>18</c:v>
                </c:pt>
                <c:pt idx="20">
                  <c:v>35</c:v>
                </c:pt>
                <c:pt idx="21">
                  <c:v>39</c:v>
                </c:pt>
                <c:pt idx="22">
                  <c:v>31</c:v>
                </c:pt>
                <c:pt idx="23">
                  <c:v>37</c:v>
                </c:pt>
                <c:pt idx="24">
                  <c:v>21</c:v>
                </c:pt>
                <c:pt idx="25">
                  <c:v>34</c:v>
                </c:pt>
                <c:pt idx="26">
                  <c:v>27</c:v>
                </c:pt>
                <c:pt idx="27">
                  <c:v>23</c:v>
                </c:pt>
                <c:pt idx="28">
                  <c:v>21</c:v>
                </c:pt>
                <c:pt idx="29">
                  <c:v>27</c:v>
                </c:pt>
                <c:pt idx="3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CB-48E8-B34E-B769E7595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67247"/>
        <c:axId val="1"/>
      </c:lineChart>
      <c:catAx>
        <c:axId val="94976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72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(Aug!$G$10:$G$19,Aug!$G$21:$G$30,Aug!$G$32:$G$42)</c:f>
              <c:numCache>
                <c:formatCode>General</c:formatCode>
                <c:ptCount val="31"/>
                <c:pt idx="0">
                  <c:v>14.2</c:v>
                </c:pt>
                <c:pt idx="1">
                  <c:v>0.2</c:v>
                </c:pt>
                <c:pt idx="2">
                  <c:v>9.6</c:v>
                </c:pt>
                <c:pt idx="3">
                  <c:v>10.8</c:v>
                </c:pt>
                <c:pt idx="4">
                  <c:v>7.4</c:v>
                </c:pt>
                <c:pt idx="5">
                  <c:v>0.2</c:v>
                </c:pt>
                <c:pt idx="6">
                  <c:v>24.8</c:v>
                </c:pt>
                <c:pt idx="7">
                  <c:v>1.2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12.4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10.4</c:v>
                </c:pt>
                <c:pt idx="16">
                  <c:v>3.8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</c:v>
                </c:pt>
                <c:pt idx="22">
                  <c:v>0.2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0.4</c:v>
                </c:pt>
                <c:pt idx="28">
                  <c:v>0.2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8-4706-A42D-EB867AD95854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(Aug!$H$10:$H$19,Aug!$H$21:$H$30,Aug!$H$32:$H$42)</c:f>
              <c:numCache>
                <c:formatCode>General</c:formatCode>
                <c:ptCount val="31"/>
                <c:pt idx="0">
                  <c:v>14.2</c:v>
                </c:pt>
                <c:pt idx="1">
                  <c:v>14.399999999999999</c:v>
                </c:pt>
                <c:pt idx="2">
                  <c:v>24</c:v>
                </c:pt>
                <c:pt idx="3">
                  <c:v>34.799999999999997</c:v>
                </c:pt>
                <c:pt idx="4">
                  <c:v>42.199999999999996</c:v>
                </c:pt>
                <c:pt idx="5">
                  <c:v>42.4</c:v>
                </c:pt>
                <c:pt idx="6">
                  <c:v>67.2</c:v>
                </c:pt>
                <c:pt idx="7">
                  <c:v>68.400000000000006</c:v>
                </c:pt>
                <c:pt idx="8">
                  <c:v>68.400000000000006</c:v>
                </c:pt>
                <c:pt idx="9">
                  <c:v>68.400000000000006</c:v>
                </c:pt>
                <c:pt idx="10">
                  <c:v>69.400000000000006</c:v>
                </c:pt>
                <c:pt idx="11">
                  <c:v>81.800000000000011</c:v>
                </c:pt>
                <c:pt idx="12">
                  <c:v>81.800000000000011</c:v>
                </c:pt>
                <c:pt idx="13">
                  <c:v>81.800000000000011</c:v>
                </c:pt>
                <c:pt idx="14">
                  <c:v>81.800000000000011</c:v>
                </c:pt>
                <c:pt idx="15">
                  <c:v>92.200000000000017</c:v>
                </c:pt>
                <c:pt idx="16">
                  <c:v>96.000000000000014</c:v>
                </c:pt>
                <c:pt idx="17">
                  <c:v>96.000000000000014</c:v>
                </c:pt>
                <c:pt idx="18">
                  <c:v>96.000000000000014</c:v>
                </c:pt>
                <c:pt idx="19">
                  <c:v>96.000000000000014</c:v>
                </c:pt>
                <c:pt idx="20">
                  <c:v>96.000000000000014</c:v>
                </c:pt>
                <c:pt idx="21">
                  <c:v>111.00000000000001</c:v>
                </c:pt>
                <c:pt idx="22">
                  <c:v>111.20000000000002</c:v>
                </c:pt>
                <c:pt idx="23">
                  <c:v>111.20000000000002</c:v>
                </c:pt>
                <c:pt idx="24">
                  <c:v>111.20000000000002</c:v>
                </c:pt>
                <c:pt idx="25">
                  <c:v>111.20000000000002</c:v>
                </c:pt>
                <c:pt idx="26">
                  <c:v>111.20000000000002</c:v>
                </c:pt>
                <c:pt idx="27">
                  <c:v>111.60000000000002</c:v>
                </c:pt>
                <c:pt idx="28">
                  <c:v>111.80000000000003</c:v>
                </c:pt>
                <c:pt idx="29">
                  <c:v>111.80000000000003</c:v>
                </c:pt>
                <c:pt idx="30">
                  <c:v>111.80000000000003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8-4706-A42D-EB867AD95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847"/>
        <c:axId val="1"/>
      </c:barChart>
      <c:catAx>
        <c:axId val="949758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8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8449197860962566"/>
          <c:w val="0.93500076090556716"/>
          <c:h val="0.63101604278074863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(Aug!$J$10:$J$19,Aug!$J$21:$J$30,Aug!$J$32:$J$42)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2-4AAC-8FA0-98A57F3EA499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(Aug!$K$10:$K$19,Aug!$K$21:$K$30,Aug!$K$32:$K$42)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2-4AAC-8FA0-98A57F3EA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047"/>
        <c:axId val="1"/>
      </c:barChart>
      <c:catAx>
        <c:axId val="949758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7058823529411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047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1749260012453815"/>
          <c:w val="0.2141369922184593"/>
          <c:h val="6.2202888144036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8449197860962566"/>
          <c:w val="0.93500076090556716"/>
          <c:h val="0.63101604278074863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(Jan!$J$10:$J$19,Jan!$J$21:$J$30,Jan!$J$32:$J$42)</c:f>
              <c:numCache>
                <c:formatCode>General</c:formatCode>
                <c:ptCount val="31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</c:v>
                </c:pt>
                <c:pt idx="23">
                  <c:v>7</c:v>
                </c:pt>
                <c:pt idx="24">
                  <c:v>15</c:v>
                </c:pt>
                <c:pt idx="25">
                  <c:v>10</c:v>
                </c:pt>
                <c:pt idx="26">
                  <c:v>12</c:v>
                </c:pt>
                <c:pt idx="27">
                  <c:v>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8-4792-8CF9-946A19A9945D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(Jan!$K$10:$K$19,Jan!$K$21:$K$30,Jan!$K$32:$K$42)</c:f>
              <c:numCache>
                <c:formatCode>General</c:formatCode>
                <c:ptCount val="31"/>
                <c:pt idx="0">
                  <c:v>15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15</c:v>
                </c:pt>
                <c:pt idx="13">
                  <c:v>11</c:v>
                </c:pt>
                <c:pt idx="14">
                  <c:v>6</c:v>
                </c:pt>
                <c:pt idx="15">
                  <c:v>8</c:v>
                </c:pt>
                <c:pt idx="16">
                  <c:v>8</c:v>
                </c:pt>
                <c:pt idx="17">
                  <c:v>18</c:v>
                </c:pt>
                <c:pt idx="18">
                  <c:v>16</c:v>
                </c:pt>
                <c:pt idx="19">
                  <c:v>14</c:v>
                </c:pt>
                <c:pt idx="20">
                  <c:v>10</c:v>
                </c:pt>
                <c:pt idx="21">
                  <c:v>8</c:v>
                </c:pt>
                <c:pt idx="22">
                  <c:v>15</c:v>
                </c:pt>
                <c:pt idx="23">
                  <c:v>20</c:v>
                </c:pt>
                <c:pt idx="24">
                  <c:v>31</c:v>
                </c:pt>
                <c:pt idx="25">
                  <c:v>34</c:v>
                </c:pt>
                <c:pt idx="26">
                  <c:v>38</c:v>
                </c:pt>
                <c:pt idx="27">
                  <c:v>30</c:v>
                </c:pt>
                <c:pt idx="28">
                  <c:v>8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8-4792-8CF9-946A19A99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047"/>
        <c:axId val="1"/>
      </c:barChart>
      <c:catAx>
        <c:axId val="949758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7058823529411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047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1749260012453815"/>
          <c:w val="0.2141369922184593"/>
          <c:h val="6.2202888144036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(Aug!$I$10:$I$19,Aug!$I$21:$I$30,Aug!$I$32:$I$42)</c:f>
              <c:numCache>
                <c:formatCode>0.00</c:formatCode>
                <c:ptCount val="31"/>
                <c:pt idx="0">
                  <c:v>0.33</c:v>
                </c:pt>
                <c:pt idx="1">
                  <c:v>5.85</c:v>
                </c:pt>
                <c:pt idx="2">
                  <c:v>2.5499999999999998</c:v>
                </c:pt>
                <c:pt idx="3">
                  <c:v>0.08</c:v>
                </c:pt>
                <c:pt idx="4">
                  <c:v>4.63</c:v>
                </c:pt>
                <c:pt idx="5">
                  <c:v>4.4800000000000004</c:v>
                </c:pt>
                <c:pt idx="6">
                  <c:v>0.98</c:v>
                </c:pt>
                <c:pt idx="7">
                  <c:v>4.8499999999999996</c:v>
                </c:pt>
                <c:pt idx="8">
                  <c:v>6.72</c:v>
                </c:pt>
                <c:pt idx="9">
                  <c:v>11.43</c:v>
                </c:pt>
                <c:pt idx="10">
                  <c:v>10.5</c:v>
                </c:pt>
                <c:pt idx="11">
                  <c:v>10.35</c:v>
                </c:pt>
                <c:pt idx="12">
                  <c:v>11.02</c:v>
                </c:pt>
                <c:pt idx="13">
                  <c:v>11.23</c:v>
                </c:pt>
                <c:pt idx="14">
                  <c:v>9.4700000000000006</c:v>
                </c:pt>
                <c:pt idx="15">
                  <c:v>1.07</c:v>
                </c:pt>
                <c:pt idx="16">
                  <c:v>3.85</c:v>
                </c:pt>
                <c:pt idx="17">
                  <c:v>8.1</c:v>
                </c:pt>
                <c:pt idx="18">
                  <c:v>1.62</c:v>
                </c:pt>
                <c:pt idx="19">
                  <c:v>6.17</c:v>
                </c:pt>
                <c:pt idx="20">
                  <c:v>10.92</c:v>
                </c:pt>
                <c:pt idx="21">
                  <c:v>1.85</c:v>
                </c:pt>
                <c:pt idx="22">
                  <c:v>4.62</c:v>
                </c:pt>
                <c:pt idx="23">
                  <c:v>3.7</c:v>
                </c:pt>
                <c:pt idx="24">
                  <c:v>1.82</c:v>
                </c:pt>
                <c:pt idx="25">
                  <c:v>8.1</c:v>
                </c:pt>
                <c:pt idx="26">
                  <c:v>6.28</c:v>
                </c:pt>
                <c:pt idx="27">
                  <c:v>5.42</c:v>
                </c:pt>
                <c:pt idx="28">
                  <c:v>1.85</c:v>
                </c:pt>
                <c:pt idx="29">
                  <c:v>7.3</c:v>
                </c:pt>
                <c:pt idx="30">
                  <c:v>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6-4065-9404-EB8272233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64047"/>
        <c:axId val="1"/>
      </c:barChart>
      <c:catAx>
        <c:axId val="94976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(Sep!$B$10:$B$19,Sep!$B$21:$B$30,Sep!$B$32:$B$41)</c:f>
              <c:numCache>
                <c:formatCode>General</c:formatCode>
                <c:ptCount val="30"/>
                <c:pt idx="0">
                  <c:v>19.600000000000001</c:v>
                </c:pt>
                <c:pt idx="1">
                  <c:v>21.2</c:v>
                </c:pt>
                <c:pt idx="2">
                  <c:v>21.8</c:v>
                </c:pt>
                <c:pt idx="3">
                  <c:v>22.2</c:v>
                </c:pt>
                <c:pt idx="4">
                  <c:v>22.4</c:v>
                </c:pt>
                <c:pt idx="5">
                  <c:v>22.5</c:v>
                </c:pt>
                <c:pt idx="6">
                  <c:v>22.6</c:v>
                </c:pt>
                <c:pt idx="7">
                  <c:v>24</c:v>
                </c:pt>
                <c:pt idx="8">
                  <c:v>20.8</c:v>
                </c:pt>
                <c:pt idx="9">
                  <c:v>18.2</c:v>
                </c:pt>
                <c:pt idx="10">
                  <c:v>20.100000000000001</c:v>
                </c:pt>
                <c:pt idx="11">
                  <c:v>20.3</c:v>
                </c:pt>
                <c:pt idx="12">
                  <c:v>22.3</c:v>
                </c:pt>
                <c:pt idx="13">
                  <c:v>22.8</c:v>
                </c:pt>
                <c:pt idx="14">
                  <c:v>19.3</c:v>
                </c:pt>
                <c:pt idx="15">
                  <c:v>17.600000000000001</c:v>
                </c:pt>
                <c:pt idx="16">
                  <c:v>18.2</c:v>
                </c:pt>
                <c:pt idx="17">
                  <c:v>18.600000000000001</c:v>
                </c:pt>
                <c:pt idx="18">
                  <c:v>12.6</c:v>
                </c:pt>
                <c:pt idx="19">
                  <c:v>12</c:v>
                </c:pt>
                <c:pt idx="20">
                  <c:v>15.8</c:v>
                </c:pt>
                <c:pt idx="21">
                  <c:v>15.3</c:v>
                </c:pt>
                <c:pt idx="22">
                  <c:v>18.899999999999999</c:v>
                </c:pt>
                <c:pt idx="23">
                  <c:v>19.899999999999999</c:v>
                </c:pt>
                <c:pt idx="24">
                  <c:v>22.1</c:v>
                </c:pt>
                <c:pt idx="25">
                  <c:v>17.8</c:v>
                </c:pt>
                <c:pt idx="26">
                  <c:v>18.3</c:v>
                </c:pt>
                <c:pt idx="27">
                  <c:v>15.2</c:v>
                </c:pt>
                <c:pt idx="28">
                  <c:v>15.7</c:v>
                </c:pt>
                <c:pt idx="29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F-4766-86C6-7DCD69F9872C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(Sep!$C$10:$C$19,Sep!$C$21:$C$30,Sep!$C$32:$C$41)</c:f>
              <c:numCache>
                <c:formatCode>General</c:formatCode>
                <c:ptCount val="30"/>
                <c:pt idx="0">
                  <c:v>9.6</c:v>
                </c:pt>
                <c:pt idx="1">
                  <c:v>9.1999999999999993</c:v>
                </c:pt>
                <c:pt idx="2">
                  <c:v>11.8</c:v>
                </c:pt>
                <c:pt idx="3">
                  <c:v>12</c:v>
                </c:pt>
                <c:pt idx="4">
                  <c:v>11.8</c:v>
                </c:pt>
                <c:pt idx="5">
                  <c:v>12.2</c:v>
                </c:pt>
                <c:pt idx="6">
                  <c:v>12.8</c:v>
                </c:pt>
                <c:pt idx="7">
                  <c:v>13</c:v>
                </c:pt>
                <c:pt idx="8">
                  <c:v>13.8</c:v>
                </c:pt>
                <c:pt idx="9">
                  <c:v>12.9</c:v>
                </c:pt>
                <c:pt idx="10">
                  <c:v>12.4</c:v>
                </c:pt>
                <c:pt idx="11">
                  <c:v>11.8</c:v>
                </c:pt>
                <c:pt idx="12">
                  <c:v>12.8</c:v>
                </c:pt>
                <c:pt idx="13">
                  <c:v>14.6</c:v>
                </c:pt>
                <c:pt idx="14">
                  <c:v>15.6</c:v>
                </c:pt>
                <c:pt idx="15">
                  <c:v>13.6</c:v>
                </c:pt>
                <c:pt idx="16">
                  <c:v>11.2</c:v>
                </c:pt>
                <c:pt idx="17">
                  <c:v>9.4</c:v>
                </c:pt>
                <c:pt idx="18">
                  <c:v>7.9</c:v>
                </c:pt>
                <c:pt idx="19">
                  <c:v>8.3000000000000007</c:v>
                </c:pt>
                <c:pt idx="20">
                  <c:v>6.9</c:v>
                </c:pt>
                <c:pt idx="21">
                  <c:v>6.4</c:v>
                </c:pt>
                <c:pt idx="22">
                  <c:v>7.2</c:v>
                </c:pt>
                <c:pt idx="23">
                  <c:v>9.8000000000000007</c:v>
                </c:pt>
                <c:pt idx="24">
                  <c:v>11.8</c:v>
                </c:pt>
                <c:pt idx="25">
                  <c:v>12.2</c:v>
                </c:pt>
                <c:pt idx="26">
                  <c:v>10.9</c:v>
                </c:pt>
                <c:pt idx="27">
                  <c:v>10.3</c:v>
                </c:pt>
                <c:pt idx="28">
                  <c:v>8.4</c:v>
                </c:pt>
                <c:pt idx="29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F-4766-86C6-7DCD69F9872C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(Sep!$E$10:$E$19,Sep!$E$21:$E$30,Sep!$E$32:$E$41)</c:f>
              <c:numCache>
                <c:formatCode>General</c:formatCode>
                <c:ptCount val="30"/>
                <c:pt idx="0">
                  <c:v>13.9</c:v>
                </c:pt>
                <c:pt idx="1">
                  <c:v>15.3</c:v>
                </c:pt>
                <c:pt idx="2">
                  <c:v>16.5</c:v>
                </c:pt>
                <c:pt idx="3">
                  <c:v>16.899999999999999</c:v>
                </c:pt>
                <c:pt idx="4">
                  <c:v>17.3</c:v>
                </c:pt>
                <c:pt idx="5">
                  <c:v>17.600000000000001</c:v>
                </c:pt>
                <c:pt idx="6">
                  <c:v>17.399999999999999</c:v>
                </c:pt>
                <c:pt idx="7">
                  <c:v>18.2</c:v>
                </c:pt>
                <c:pt idx="8">
                  <c:v>17</c:v>
                </c:pt>
                <c:pt idx="9">
                  <c:v>14.9</c:v>
                </c:pt>
                <c:pt idx="10">
                  <c:v>15.6</c:v>
                </c:pt>
                <c:pt idx="11">
                  <c:v>15.6</c:v>
                </c:pt>
                <c:pt idx="12">
                  <c:v>17.3</c:v>
                </c:pt>
                <c:pt idx="13">
                  <c:v>18.3</c:v>
                </c:pt>
                <c:pt idx="14">
                  <c:v>16.899999999999999</c:v>
                </c:pt>
                <c:pt idx="15">
                  <c:v>15.1</c:v>
                </c:pt>
                <c:pt idx="16">
                  <c:v>14</c:v>
                </c:pt>
                <c:pt idx="17">
                  <c:v>13.9</c:v>
                </c:pt>
                <c:pt idx="18">
                  <c:v>9.8000000000000007</c:v>
                </c:pt>
                <c:pt idx="19">
                  <c:v>10</c:v>
                </c:pt>
                <c:pt idx="20">
                  <c:v>10.8</c:v>
                </c:pt>
                <c:pt idx="21">
                  <c:v>10.6</c:v>
                </c:pt>
                <c:pt idx="22">
                  <c:v>12.6</c:v>
                </c:pt>
                <c:pt idx="23">
                  <c:v>14.8</c:v>
                </c:pt>
                <c:pt idx="24">
                  <c:v>16</c:v>
                </c:pt>
                <c:pt idx="25">
                  <c:v>14.3</c:v>
                </c:pt>
                <c:pt idx="26">
                  <c:v>14.4</c:v>
                </c:pt>
                <c:pt idx="27">
                  <c:v>12.8</c:v>
                </c:pt>
                <c:pt idx="28">
                  <c:v>11.7</c:v>
                </c:pt>
                <c:pt idx="29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F-4766-86C6-7DCD69F98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9903"/>
        <c:axId val="1"/>
      </c:lineChart>
      <c:catAx>
        <c:axId val="34369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6990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(Sep!$F$10:$F$19,Sep!$F$21:$F$30,Sep!$F$32:$F$41)</c:f>
              <c:numCache>
                <c:formatCode>General</c:formatCode>
                <c:ptCount val="30"/>
                <c:pt idx="0">
                  <c:v>23</c:v>
                </c:pt>
                <c:pt idx="1">
                  <c:v>24</c:v>
                </c:pt>
                <c:pt idx="2">
                  <c:v>23</c:v>
                </c:pt>
                <c:pt idx="3">
                  <c:v>26</c:v>
                </c:pt>
                <c:pt idx="4">
                  <c:v>21</c:v>
                </c:pt>
                <c:pt idx="5">
                  <c:v>21</c:v>
                </c:pt>
                <c:pt idx="6">
                  <c:v>16</c:v>
                </c:pt>
                <c:pt idx="7">
                  <c:v>16</c:v>
                </c:pt>
                <c:pt idx="8">
                  <c:v>19</c:v>
                </c:pt>
                <c:pt idx="9">
                  <c:v>24</c:v>
                </c:pt>
                <c:pt idx="10">
                  <c:v>21</c:v>
                </c:pt>
                <c:pt idx="11">
                  <c:v>16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21</c:v>
                </c:pt>
                <c:pt idx="16">
                  <c:v>19</c:v>
                </c:pt>
                <c:pt idx="17">
                  <c:v>21</c:v>
                </c:pt>
                <c:pt idx="18">
                  <c:v>39</c:v>
                </c:pt>
                <c:pt idx="19">
                  <c:v>8</c:v>
                </c:pt>
                <c:pt idx="20">
                  <c:v>29</c:v>
                </c:pt>
                <c:pt idx="21">
                  <c:v>23</c:v>
                </c:pt>
                <c:pt idx="22">
                  <c:v>21</c:v>
                </c:pt>
                <c:pt idx="23">
                  <c:v>28</c:v>
                </c:pt>
                <c:pt idx="24">
                  <c:v>23</c:v>
                </c:pt>
                <c:pt idx="25">
                  <c:v>27</c:v>
                </c:pt>
                <c:pt idx="26">
                  <c:v>18</c:v>
                </c:pt>
                <c:pt idx="27">
                  <c:v>23</c:v>
                </c:pt>
                <c:pt idx="28">
                  <c:v>47</c:v>
                </c:pt>
                <c:pt idx="2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83-4DA3-A90D-BC23428DF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2303"/>
        <c:axId val="1"/>
      </c:lineChart>
      <c:catAx>
        <c:axId val="34372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7230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(Sep!$G$10:$G$19,Sep!$G$21:$G$30,Sep!$G$32:$G$41)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</c:v>
                </c:pt>
                <c:pt idx="9">
                  <c:v>2.4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1.8</c:v>
                </c:pt>
                <c:pt idx="15">
                  <c:v>12.4</c:v>
                </c:pt>
                <c:pt idx="16">
                  <c:v>0.6</c:v>
                </c:pt>
                <c:pt idx="17">
                  <c:v>0.2</c:v>
                </c:pt>
                <c:pt idx="18">
                  <c:v>34.799999999999997</c:v>
                </c:pt>
                <c:pt idx="19">
                  <c:v>1.4</c:v>
                </c:pt>
                <c:pt idx="20">
                  <c:v>0.2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10.8</c:v>
                </c:pt>
                <c:pt idx="25">
                  <c:v>4.2</c:v>
                </c:pt>
                <c:pt idx="26">
                  <c:v>0</c:v>
                </c:pt>
                <c:pt idx="27">
                  <c:v>0</c:v>
                </c:pt>
                <c:pt idx="28">
                  <c:v>1.6</c:v>
                </c:pt>
                <c:pt idx="2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D-4FA3-BE6E-7ED0B7AD51AD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(Sep!$H$10:$H$19,Sep!$H$21:$H$30,Sep!$H$32:$H$41)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</c:v>
                </c:pt>
                <c:pt idx="9">
                  <c:v>5</c:v>
                </c:pt>
                <c:pt idx="10">
                  <c:v>5.2</c:v>
                </c:pt>
                <c:pt idx="11">
                  <c:v>5.2</c:v>
                </c:pt>
                <c:pt idx="12">
                  <c:v>5.2</c:v>
                </c:pt>
                <c:pt idx="13">
                  <c:v>5.2</c:v>
                </c:pt>
                <c:pt idx="14">
                  <c:v>7</c:v>
                </c:pt>
                <c:pt idx="15">
                  <c:v>19.399999999999999</c:v>
                </c:pt>
                <c:pt idx="16">
                  <c:v>20</c:v>
                </c:pt>
                <c:pt idx="17">
                  <c:v>20.2</c:v>
                </c:pt>
                <c:pt idx="18">
                  <c:v>55</c:v>
                </c:pt>
                <c:pt idx="19">
                  <c:v>56.4</c:v>
                </c:pt>
                <c:pt idx="20">
                  <c:v>56.6</c:v>
                </c:pt>
                <c:pt idx="21">
                  <c:v>56.800000000000004</c:v>
                </c:pt>
                <c:pt idx="22">
                  <c:v>56.800000000000004</c:v>
                </c:pt>
                <c:pt idx="23">
                  <c:v>56.800000000000004</c:v>
                </c:pt>
                <c:pt idx="24">
                  <c:v>67.600000000000009</c:v>
                </c:pt>
                <c:pt idx="25">
                  <c:v>71.800000000000011</c:v>
                </c:pt>
                <c:pt idx="26">
                  <c:v>71.800000000000011</c:v>
                </c:pt>
                <c:pt idx="27">
                  <c:v>71.800000000000011</c:v>
                </c:pt>
                <c:pt idx="28">
                  <c:v>73.400000000000006</c:v>
                </c:pt>
                <c:pt idx="29">
                  <c:v>73.600000000000009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D-4FA3-BE6E-7ED0B7AD5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427071"/>
        <c:axId val="1"/>
      </c:barChart>
      <c:catAx>
        <c:axId val="20274270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27427071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9047671151936579"/>
          <c:w val="0.93500076090556716"/>
          <c:h val="0.61624818432735995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(Sep!$J$10:$J$19,Sep!$J$21:$J$30,Sep!$J$32:$J$41)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F-4792-B211-B59C419CB2DD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(Sep!$K$10:$K$19,Sep!$K$21:$K$30,Sep!$K$32:$K$41)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F-4792-B211-B59C419C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84559"/>
        <c:axId val="1"/>
      </c:barChart>
      <c:catAx>
        <c:axId val="14118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6778829116948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18455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1356487617941962"/>
          <c:w val="0.2141369922184593"/>
          <c:h val="6.51651214833056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(Sep!$I$10:$I$19,Sep!$I$21:$I$30,Sep!$I$32:$I$41)</c:f>
              <c:numCache>
                <c:formatCode>0.00</c:formatCode>
                <c:ptCount val="30"/>
                <c:pt idx="0">
                  <c:v>9.82</c:v>
                </c:pt>
                <c:pt idx="1">
                  <c:v>9.27</c:v>
                </c:pt>
                <c:pt idx="2">
                  <c:v>9.08</c:v>
                </c:pt>
                <c:pt idx="3">
                  <c:v>9.48</c:v>
                </c:pt>
                <c:pt idx="4">
                  <c:v>8.3800000000000008</c:v>
                </c:pt>
                <c:pt idx="5">
                  <c:v>9.42</c:v>
                </c:pt>
                <c:pt idx="6">
                  <c:v>8.93</c:v>
                </c:pt>
                <c:pt idx="7">
                  <c:v>9.58</c:v>
                </c:pt>
                <c:pt idx="8">
                  <c:v>3.88</c:v>
                </c:pt>
                <c:pt idx="9">
                  <c:v>0.7</c:v>
                </c:pt>
                <c:pt idx="10">
                  <c:v>6.05</c:v>
                </c:pt>
                <c:pt idx="11">
                  <c:v>4.8</c:v>
                </c:pt>
                <c:pt idx="12">
                  <c:v>9.3000000000000007</c:v>
                </c:pt>
                <c:pt idx="13">
                  <c:v>5.4</c:v>
                </c:pt>
                <c:pt idx="14">
                  <c:v>0.88</c:v>
                </c:pt>
                <c:pt idx="15">
                  <c:v>0.87</c:v>
                </c:pt>
                <c:pt idx="16">
                  <c:v>5.24</c:v>
                </c:pt>
                <c:pt idx="17">
                  <c:v>6.38</c:v>
                </c:pt>
                <c:pt idx="18">
                  <c:v>0</c:v>
                </c:pt>
                <c:pt idx="19">
                  <c:v>0</c:v>
                </c:pt>
                <c:pt idx="20">
                  <c:v>7.57</c:v>
                </c:pt>
                <c:pt idx="21">
                  <c:v>8.77</c:v>
                </c:pt>
                <c:pt idx="22">
                  <c:v>8.1999999999999993</c:v>
                </c:pt>
                <c:pt idx="23">
                  <c:v>8.82</c:v>
                </c:pt>
                <c:pt idx="24">
                  <c:v>5.24</c:v>
                </c:pt>
                <c:pt idx="25">
                  <c:v>2.2200000000000002</c:v>
                </c:pt>
                <c:pt idx="26">
                  <c:v>6.25</c:v>
                </c:pt>
                <c:pt idx="27">
                  <c:v>5.49</c:v>
                </c:pt>
                <c:pt idx="28">
                  <c:v>4.75</c:v>
                </c:pt>
                <c:pt idx="29">
                  <c:v>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7-40E3-84FC-2D5ECE609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4271"/>
        <c:axId val="1"/>
      </c:barChart>
      <c:catAx>
        <c:axId val="37204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04271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(Okt!$B$10:$B$19,Okt!$B$21:$B$30,Okt!$B$32:$B$42)</c:f>
              <c:numCache>
                <c:formatCode>General</c:formatCode>
                <c:ptCount val="31"/>
                <c:pt idx="0">
                  <c:v>17.8</c:v>
                </c:pt>
                <c:pt idx="1">
                  <c:v>19</c:v>
                </c:pt>
                <c:pt idx="2">
                  <c:v>16.899999999999999</c:v>
                </c:pt>
                <c:pt idx="3">
                  <c:v>10.3</c:v>
                </c:pt>
                <c:pt idx="4">
                  <c:v>12.4</c:v>
                </c:pt>
                <c:pt idx="5">
                  <c:v>9.6</c:v>
                </c:pt>
                <c:pt idx="6">
                  <c:v>10.199999999999999</c:v>
                </c:pt>
                <c:pt idx="7">
                  <c:v>10.6</c:v>
                </c:pt>
                <c:pt idx="8">
                  <c:v>8.4</c:v>
                </c:pt>
                <c:pt idx="9">
                  <c:v>10.3</c:v>
                </c:pt>
                <c:pt idx="10">
                  <c:v>11.7</c:v>
                </c:pt>
                <c:pt idx="11">
                  <c:v>8.5</c:v>
                </c:pt>
                <c:pt idx="12">
                  <c:v>7.9</c:v>
                </c:pt>
                <c:pt idx="13">
                  <c:v>10.8</c:v>
                </c:pt>
                <c:pt idx="14">
                  <c:v>13</c:v>
                </c:pt>
                <c:pt idx="15">
                  <c:v>12.5</c:v>
                </c:pt>
                <c:pt idx="16">
                  <c:v>14.2</c:v>
                </c:pt>
                <c:pt idx="17">
                  <c:v>16.100000000000001</c:v>
                </c:pt>
                <c:pt idx="18">
                  <c:v>17.100000000000001</c:v>
                </c:pt>
                <c:pt idx="19">
                  <c:v>16.399999999999999</c:v>
                </c:pt>
                <c:pt idx="20">
                  <c:v>12.3</c:v>
                </c:pt>
                <c:pt idx="21">
                  <c:v>8.6999999999999993</c:v>
                </c:pt>
                <c:pt idx="22">
                  <c:v>8.8000000000000007</c:v>
                </c:pt>
                <c:pt idx="23">
                  <c:v>13.8</c:v>
                </c:pt>
                <c:pt idx="24">
                  <c:v>13.2</c:v>
                </c:pt>
                <c:pt idx="25">
                  <c:v>12.4</c:v>
                </c:pt>
                <c:pt idx="26">
                  <c:v>11.5</c:v>
                </c:pt>
                <c:pt idx="27">
                  <c:v>12.7</c:v>
                </c:pt>
                <c:pt idx="28">
                  <c:v>14.4</c:v>
                </c:pt>
                <c:pt idx="29">
                  <c:v>9.9</c:v>
                </c:pt>
                <c:pt idx="30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5-4934-92AE-4621CE9B5383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(Okt!$C$10:$C$19,Okt!$C$21:$C$30,Okt!$C$32:$C$42)</c:f>
              <c:numCache>
                <c:formatCode>General</c:formatCode>
                <c:ptCount val="31"/>
                <c:pt idx="0">
                  <c:v>6.2</c:v>
                </c:pt>
                <c:pt idx="1">
                  <c:v>10.6</c:v>
                </c:pt>
                <c:pt idx="2">
                  <c:v>9.6</c:v>
                </c:pt>
                <c:pt idx="3">
                  <c:v>7.2</c:v>
                </c:pt>
                <c:pt idx="4">
                  <c:v>7</c:v>
                </c:pt>
                <c:pt idx="5">
                  <c:v>4.4000000000000004</c:v>
                </c:pt>
                <c:pt idx="6">
                  <c:v>4.8</c:v>
                </c:pt>
                <c:pt idx="7">
                  <c:v>5.8</c:v>
                </c:pt>
                <c:pt idx="8">
                  <c:v>4.4000000000000004</c:v>
                </c:pt>
                <c:pt idx="9">
                  <c:v>3.1</c:v>
                </c:pt>
                <c:pt idx="10">
                  <c:v>1.4</c:v>
                </c:pt>
                <c:pt idx="11">
                  <c:v>2.4</c:v>
                </c:pt>
                <c:pt idx="12">
                  <c:v>2.6</c:v>
                </c:pt>
                <c:pt idx="13">
                  <c:v>0.7</c:v>
                </c:pt>
                <c:pt idx="14">
                  <c:v>2.1</c:v>
                </c:pt>
                <c:pt idx="15">
                  <c:v>3.8</c:v>
                </c:pt>
                <c:pt idx="16">
                  <c:v>4.0999999999999996</c:v>
                </c:pt>
                <c:pt idx="17">
                  <c:v>5.4</c:v>
                </c:pt>
                <c:pt idx="18">
                  <c:v>6.9</c:v>
                </c:pt>
                <c:pt idx="19">
                  <c:v>8.1999999999999993</c:v>
                </c:pt>
                <c:pt idx="20">
                  <c:v>7.4</c:v>
                </c:pt>
                <c:pt idx="21">
                  <c:v>3.6</c:v>
                </c:pt>
                <c:pt idx="22">
                  <c:v>1.1000000000000001</c:v>
                </c:pt>
                <c:pt idx="23">
                  <c:v>1.9</c:v>
                </c:pt>
                <c:pt idx="24">
                  <c:v>4.5999999999999996</c:v>
                </c:pt>
                <c:pt idx="25">
                  <c:v>6</c:v>
                </c:pt>
                <c:pt idx="26">
                  <c:v>4.4000000000000004</c:v>
                </c:pt>
                <c:pt idx="27">
                  <c:v>2.7</c:v>
                </c:pt>
                <c:pt idx="28">
                  <c:v>4.2</c:v>
                </c:pt>
                <c:pt idx="29">
                  <c:v>5.3</c:v>
                </c:pt>
                <c:pt idx="30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5-4934-92AE-4621CE9B5383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(Okt!$E$10:$E$19,Okt!$E$21:$E$30,Okt!$E$32:$E$42)</c:f>
              <c:numCache>
                <c:formatCode>General</c:formatCode>
                <c:ptCount val="31"/>
                <c:pt idx="0">
                  <c:v>11.5</c:v>
                </c:pt>
                <c:pt idx="1">
                  <c:v>14.4</c:v>
                </c:pt>
                <c:pt idx="2">
                  <c:v>13.4</c:v>
                </c:pt>
                <c:pt idx="3">
                  <c:v>8.6999999999999993</c:v>
                </c:pt>
                <c:pt idx="4">
                  <c:v>9.1999999999999993</c:v>
                </c:pt>
                <c:pt idx="5">
                  <c:v>6.5</c:v>
                </c:pt>
                <c:pt idx="6">
                  <c:v>7</c:v>
                </c:pt>
                <c:pt idx="7">
                  <c:v>7.8</c:v>
                </c:pt>
                <c:pt idx="8">
                  <c:v>7</c:v>
                </c:pt>
                <c:pt idx="9">
                  <c:v>5.9</c:v>
                </c:pt>
                <c:pt idx="10">
                  <c:v>5.9</c:v>
                </c:pt>
                <c:pt idx="11">
                  <c:v>5.6</c:v>
                </c:pt>
                <c:pt idx="12">
                  <c:v>5.3</c:v>
                </c:pt>
                <c:pt idx="13">
                  <c:v>4.9000000000000004</c:v>
                </c:pt>
                <c:pt idx="14">
                  <c:v>7</c:v>
                </c:pt>
                <c:pt idx="15">
                  <c:v>7.5</c:v>
                </c:pt>
                <c:pt idx="16">
                  <c:v>8.1999999999999993</c:v>
                </c:pt>
                <c:pt idx="17">
                  <c:v>10.1</c:v>
                </c:pt>
                <c:pt idx="18">
                  <c:v>11.2</c:v>
                </c:pt>
                <c:pt idx="19">
                  <c:v>11.8</c:v>
                </c:pt>
                <c:pt idx="20">
                  <c:v>10.3</c:v>
                </c:pt>
                <c:pt idx="21">
                  <c:v>6.8</c:v>
                </c:pt>
                <c:pt idx="22">
                  <c:v>4.7</c:v>
                </c:pt>
                <c:pt idx="23">
                  <c:v>6.5</c:v>
                </c:pt>
                <c:pt idx="24">
                  <c:v>8.3000000000000007</c:v>
                </c:pt>
                <c:pt idx="25">
                  <c:v>8.4</c:v>
                </c:pt>
                <c:pt idx="26">
                  <c:v>6.9</c:v>
                </c:pt>
                <c:pt idx="27">
                  <c:v>6.7</c:v>
                </c:pt>
                <c:pt idx="28">
                  <c:v>8.1999999999999993</c:v>
                </c:pt>
                <c:pt idx="29">
                  <c:v>7.9</c:v>
                </c:pt>
                <c:pt idx="30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45-4934-92AE-4621CE9B5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54047"/>
        <c:axId val="1"/>
      </c:lineChart>
      <c:catAx>
        <c:axId val="94975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(Okt!$F$10:$F$19,Okt!$F$21:$F$30,Okt!$F$32:$F$42)</c:f>
              <c:numCache>
                <c:formatCode>General</c:formatCode>
                <c:ptCount val="31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13</c:v>
                </c:pt>
                <c:pt idx="4">
                  <c:v>39</c:v>
                </c:pt>
                <c:pt idx="5">
                  <c:v>39</c:v>
                </c:pt>
                <c:pt idx="6">
                  <c:v>32</c:v>
                </c:pt>
                <c:pt idx="7">
                  <c:v>27</c:v>
                </c:pt>
                <c:pt idx="8">
                  <c:v>14</c:v>
                </c:pt>
                <c:pt idx="9">
                  <c:v>19</c:v>
                </c:pt>
                <c:pt idx="10">
                  <c:v>27</c:v>
                </c:pt>
                <c:pt idx="11">
                  <c:v>14</c:v>
                </c:pt>
                <c:pt idx="12">
                  <c:v>26</c:v>
                </c:pt>
                <c:pt idx="13">
                  <c:v>14</c:v>
                </c:pt>
                <c:pt idx="14">
                  <c:v>11</c:v>
                </c:pt>
                <c:pt idx="15">
                  <c:v>18</c:v>
                </c:pt>
                <c:pt idx="16">
                  <c:v>14</c:v>
                </c:pt>
                <c:pt idx="17">
                  <c:v>8</c:v>
                </c:pt>
                <c:pt idx="18">
                  <c:v>14</c:v>
                </c:pt>
                <c:pt idx="19">
                  <c:v>27</c:v>
                </c:pt>
                <c:pt idx="20">
                  <c:v>69</c:v>
                </c:pt>
                <c:pt idx="21">
                  <c:v>31</c:v>
                </c:pt>
                <c:pt idx="22">
                  <c:v>23</c:v>
                </c:pt>
                <c:pt idx="23">
                  <c:v>11</c:v>
                </c:pt>
                <c:pt idx="24">
                  <c:v>19</c:v>
                </c:pt>
                <c:pt idx="25">
                  <c:v>19</c:v>
                </c:pt>
                <c:pt idx="26">
                  <c:v>16</c:v>
                </c:pt>
                <c:pt idx="27">
                  <c:v>7</c:v>
                </c:pt>
                <c:pt idx="28">
                  <c:v>13</c:v>
                </c:pt>
                <c:pt idx="29">
                  <c:v>24</c:v>
                </c:pt>
                <c:pt idx="3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3-468D-8275-1FA3CD87C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67247"/>
        <c:axId val="1"/>
      </c:lineChart>
      <c:catAx>
        <c:axId val="94976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72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(Okt!$G$10:$G$19,Okt!$G$21:$G$30,Okt!$G$32:$G$42)</c:f>
              <c:numCache>
                <c:formatCode>General</c:formatCode>
                <c:ptCount val="31"/>
                <c:pt idx="0">
                  <c:v>0.2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8.6</c:v>
                </c:pt>
                <c:pt idx="5">
                  <c:v>4.2</c:v>
                </c:pt>
                <c:pt idx="6">
                  <c:v>3.4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0.6</c:v>
                </c:pt>
                <c:pt idx="12">
                  <c:v>2.8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0.2</c:v>
                </c:pt>
                <c:pt idx="22">
                  <c:v>0</c:v>
                </c:pt>
                <c:pt idx="23">
                  <c:v>0.2</c:v>
                </c:pt>
                <c:pt idx="24">
                  <c:v>0</c:v>
                </c:pt>
                <c:pt idx="25">
                  <c:v>0</c:v>
                </c:pt>
                <c:pt idx="26">
                  <c:v>0.4</c:v>
                </c:pt>
                <c:pt idx="27">
                  <c:v>0.2</c:v>
                </c:pt>
                <c:pt idx="28">
                  <c:v>0</c:v>
                </c:pt>
                <c:pt idx="29">
                  <c:v>0.2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F-48F4-A92C-B51D6DE2119A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(Okt!$H$10:$H$19,Okt!$H$21:$H$30,Okt!$H$32:$H$42)</c:f>
              <c:numCache>
                <c:formatCode>General</c:formatCode>
                <c:ptCount val="31"/>
                <c:pt idx="0">
                  <c:v>0.2</c:v>
                </c:pt>
                <c:pt idx="1">
                  <c:v>0.2</c:v>
                </c:pt>
                <c:pt idx="2">
                  <c:v>4.2</c:v>
                </c:pt>
                <c:pt idx="3">
                  <c:v>6.2</c:v>
                </c:pt>
                <c:pt idx="4">
                  <c:v>14.8</c:v>
                </c:pt>
                <c:pt idx="5">
                  <c:v>19</c:v>
                </c:pt>
                <c:pt idx="6">
                  <c:v>22.4</c:v>
                </c:pt>
                <c:pt idx="7">
                  <c:v>22.4</c:v>
                </c:pt>
                <c:pt idx="8">
                  <c:v>22.4</c:v>
                </c:pt>
                <c:pt idx="9">
                  <c:v>22.599999999999998</c:v>
                </c:pt>
                <c:pt idx="10">
                  <c:v>22.599999999999998</c:v>
                </c:pt>
                <c:pt idx="11">
                  <c:v>23.2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26.2</c:v>
                </c:pt>
                <c:pt idx="17">
                  <c:v>26.2</c:v>
                </c:pt>
                <c:pt idx="18">
                  <c:v>26.2</c:v>
                </c:pt>
                <c:pt idx="19">
                  <c:v>26.2</c:v>
                </c:pt>
                <c:pt idx="20">
                  <c:v>32.200000000000003</c:v>
                </c:pt>
                <c:pt idx="21">
                  <c:v>32.400000000000006</c:v>
                </c:pt>
                <c:pt idx="22">
                  <c:v>32.400000000000006</c:v>
                </c:pt>
                <c:pt idx="23">
                  <c:v>32.600000000000009</c:v>
                </c:pt>
                <c:pt idx="24">
                  <c:v>32.600000000000009</c:v>
                </c:pt>
                <c:pt idx="25">
                  <c:v>32.600000000000009</c:v>
                </c:pt>
                <c:pt idx="26">
                  <c:v>33.000000000000007</c:v>
                </c:pt>
                <c:pt idx="27">
                  <c:v>33.20000000000001</c:v>
                </c:pt>
                <c:pt idx="28">
                  <c:v>33.20000000000001</c:v>
                </c:pt>
                <c:pt idx="29">
                  <c:v>33.400000000000013</c:v>
                </c:pt>
                <c:pt idx="30">
                  <c:v>34.400000000000013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F-48F4-A92C-B51D6DE21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847"/>
        <c:axId val="1"/>
      </c:barChart>
      <c:catAx>
        <c:axId val="949758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8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8449197860962566"/>
          <c:w val="0.93500076090556716"/>
          <c:h val="0.63101604278074863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(Okt!$J$10:$J$19,Okt!$J$21:$J$30,Okt!$J$32:$J$42)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9-4680-8524-3C86A35B7039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(Okt!$K$10:$K$19,Okt!$K$21:$K$30,Okt!$K$32:$K$42)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9-4680-8524-3C86A35B7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047"/>
        <c:axId val="1"/>
      </c:barChart>
      <c:catAx>
        <c:axId val="949758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7058823529411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047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1749260012453815"/>
          <c:w val="0.2141369922184593"/>
          <c:h val="6.2202888144036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(Jan!$I$10:$I$19,Jan!$I$21:$I$30,Jan!$I$32:$I$42)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0.45</c:v>
                </c:pt>
                <c:pt idx="3">
                  <c:v>0</c:v>
                </c:pt>
                <c:pt idx="4">
                  <c:v>0</c:v>
                </c:pt>
                <c:pt idx="5">
                  <c:v>0.47</c:v>
                </c:pt>
                <c:pt idx="6">
                  <c:v>3.73</c:v>
                </c:pt>
                <c:pt idx="7">
                  <c:v>3.67</c:v>
                </c:pt>
                <c:pt idx="8">
                  <c:v>2.98</c:v>
                </c:pt>
                <c:pt idx="9">
                  <c:v>4</c:v>
                </c:pt>
                <c:pt idx="10">
                  <c:v>3.9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1.28</c:v>
                </c:pt>
                <c:pt idx="16">
                  <c:v>0</c:v>
                </c:pt>
                <c:pt idx="17">
                  <c:v>1.1200000000000001</c:v>
                </c:pt>
                <c:pt idx="18">
                  <c:v>3.97</c:v>
                </c:pt>
                <c:pt idx="19">
                  <c:v>3.78</c:v>
                </c:pt>
                <c:pt idx="20">
                  <c:v>0.6</c:v>
                </c:pt>
                <c:pt idx="21">
                  <c:v>0.33</c:v>
                </c:pt>
                <c:pt idx="22">
                  <c:v>1.9</c:v>
                </c:pt>
                <c:pt idx="23">
                  <c:v>1.88</c:v>
                </c:pt>
                <c:pt idx="24">
                  <c:v>0.23</c:v>
                </c:pt>
                <c:pt idx="25">
                  <c:v>2.4700000000000002</c:v>
                </c:pt>
                <c:pt idx="26">
                  <c:v>0</c:v>
                </c:pt>
                <c:pt idx="27">
                  <c:v>0</c:v>
                </c:pt>
                <c:pt idx="28">
                  <c:v>0.4</c:v>
                </c:pt>
                <c:pt idx="29">
                  <c:v>0</c:v>
                </c:pt>
                <c:pt idx="30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D-4432-90EA-79EED4A70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64047"/>
        <c:axId val="1"/>
      </c:barChart>
      <c:catAx>
        <c:axId val="94976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(Okt!$I$10:$I$19,Okt!$I$21:$I$30,Okt!$I$32:$I$42)</c:f>
              <c:numCache>
                <c:formatCode>0.00</c:formatCode>
                <c:ptCount val="31"/>
                <c:pt idx="0">
                  <c:v>8.15</c:v>
                </c:pt>
                <c:pt idx="1">
                  <c:v>7.2</c:v>
                </c:pt>
                <c:pt idx="2">
                  <c:v>0.75</c:v>
                </c:pt>
                <c:pt idx="3">
                  <c:v>0.15</c:v>
                </c:pt>
                <c:pt idx="4">
                  <c:v>0.6</c:v>
                </c:pt>
                <c:pt idx="5">
                  <c:v>2.93</c:v>
                </c:pt>
                <c:pt idx="6">
                  <c:v>3.8</c:v>
                </c:pt>
                <c:pt idx="7">
                  <c:v>1.1499999999999999</c:v>
                </c:pt>
                <c:pt idx="8">
                  <c:v>0</c:v>
                </c:pt>
                <c:pt idx="9">
                  <c:v>5.65</c:v>
                </c:pt>
                <c:pt idx="10">
                  <c:v>8.2799999999999994</c:v>
                </c:pt>
                <c:pt idx="11">
                  <c:v>0.5</c:v>
                </c:pt>
                <c:pt idx="12">
                  <c:v>3.6</c:v>
                </c:pt>
                <c:pt idx="13">
                  <c:v>7.73</c:v>
                </c:pt>
                <c:pt idx="14">
                  <c:v>6.77</c:v>
                </c:pt>
                <c:pt idx="15">
                  <c:v>7.7</c:v>
                </c:pt>
                <c:pt idx="16">
                  <c:v>7.82</c:v>
                </c:pt>
                <c:pt idx="17">
                  <c:v>7.97</c:v>
                </c:pt>
                <c:pt idx="18">
                  <c:v>5.18</c:v>
                </c:pt>
                <c:pt idx="19">
                  <c:v>7.58</c:v>
                </c:pt>
                <c:pt idx="20">
                  <c:v>4.22</c:v>
                </c:pt>
                <c:pt idx="21">
                  <c:v>0.42</c:v>
                </c:pt>
                <c:pt idx="22">
                  <c:v>7.27</c:v>
                </c:pt>
                <c:pt idx="23">
                  <c:v>7.32</c:v>
                </c:pt>
                <c:pt idx="24">
                  <c:v>6.5</c:v>
                </c:pt>
                <c:pt idx="25">
                  <c:v>2.63</c:v>
                </c:pt>
                <c:pt idx="26">
                  <c:v>6.53</c:v>
                </c:pt>
                <c:pt idx="27">
                  <c:v>6.23</c:v>
                </c:pt>
                <c:pt idx="28">
                  <c:v>6.07</c:v>
                </c:pt>
                <c:pt idx="29">
                  <c:v>0.03</c:v>
                </c:pt>
                <c:pt idx="30">
                  <c:v>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E-474F-A359-37B625874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64047"/>
        <c:axId val="1"/>
      </c:barChart>
      <c:catAx>
        <c:axId val="94976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(Nov!$B$10:$B$19,Nov!$B$21:$B$30,Nov!$B$32:$B$41)</c:f>
              <c:numCache>
                <c:formatCode>General</c:formatCode>
                <c:ptCount val="30"/>
                <c:pt idx="0">
                  <c:v>10.5</c:v>
                </c:pt>
                <c:pt idx="1">
                  <c:v>7.6</c:v>
                </c:pt>
                <c:pt idx="2">
                  <c:v>4.3</c:v>
                </c:pt>
                <c:pt idx="3">
                  <c:v>4.3</c:v>
                </c:pt>
                <c:pt idx="4">
                  <c:v>6.6</c:v>
                </c:pt>
                <c:pt idx="5">
                  <c:v>4.9000000000000004</c:v>
                </c:pt>
                <c:pt idx="6">
                  <c:v>7.3</c:v>
                </c:pt>
                <c:pt idx="7">
                  <c:v>5.2</c:v>
                </c:pt>
                <c:pt idx="8">
                  <c:v>4.3</c:v>
                </c:pt>
                <c:pt idx="9">
                  <c:v>9.8000000000000007</c:v>
                </c:pt>
                <c:pt idx="10">
                  <c:v>12.3</c:v>
                </c:pt>
                <c:pt idx="11">
                  <c:v>11.9</c:v>
                </c:pt>
                <c:pt idx="12">
                  <c:v>7.9</c:v>
                </c:pt>
                <c:pt idx="13">
                  <c:v>7.2</c:v>
                </c:pt>
                <c:pt idx="14">
                  <c:v>4.8</c:v>
                </c:pt>
                <c:pt idx="15">
                  <c:v>3.1</c:v>
                </c:pt>
                <c:pt idx="16">
                  <c:v>3.1</c:v>
                </c:pt>
                <c:pt idx="17">
                  <c:v>5.3</c:v>
                </c:pt>
                <c:pt idx="18">
                  <c:v>6.7</c:v>
                </c:pt>
                <c:pt idx="19">
                  <c:v>7.2</c:v>
                </c:pt>
                <c:pt idx="20">
                  <c:v>8.9</c:v>
                </c:pt>
                <c:pt idx="21">
                  <c:v>2.5</c:v>
                </c:pt>
                <c:pt idx="22">
                  <c:v>1.7</c:v>
                </c:pt>
                <c:pt idx="23">
                  <c:v>1.2</c:v>
                </c:pt>
                <c:pt idx="24">
                  <c:v>1.9</c:v>
                </c:pt>
                <c:pt idx="25">
                  <c:v>0.9</c:v>
                </c:pt>
                <c:pt idx="26">
                  <c:v>0.7</c:v>
                </c:pt>
                <c:pt idx="27">
                  <c:v>-0.7</c:v>
                </c:pt>
                <c:pt idx="28">
                  <c:v>0.5</c:v>
                </c:pt>
                <c:pt idx="2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F-4A36-9C5D-BDDEAE4851B0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(Nov!$C$10:$C$19,Nov!$C$21:$C$30,Nov!$C$32:$C$41)</c:f>
              <c:numCache>
                <c:formatCode>General</c:formatCode>
                <c:ptCount val="30"/>
                <c:pt idx="0">
                  <c:v>3</c:v>
                </c:pt>
                <c:pt idx="1">
                  <c:v>2.7</c:v>
                </c:pt>
                <c:pt idx="2">
                  <c:v>1.7</c:v>
                </c:pt>
                <c:pt idx="3">
                  <c:v>0.8</c:v>
                </c:pt>
                <c:pt idx="4">
                  <c:v>0.8</c:v>
                </c:pt>
                <c:pt idx="5">
                  <c:v>-0.9</c:v>
                </c:pt>
                <c:pt idx="6">
                  <c:v>-2.8</c:v>
                </c:pt>
                <c:pt idx="7">
                  <c:v>1.5</c:v>
                </c:pt>
                <c:pt idx="8">
                  <c:v>0.2</c:v>
                </c:pt>
                <c:pt idx="9">
                  <c:v>0.1</c:v>
                </c:pt>
                <c:pt idx="10">
                  <c:v>3.5</c:v>
                </c:pt>
                <c:pt idx="11">
                  <c:v>4.0999999999999996</c:v>
                </c:pt>
                <c:pt idx="12">
                  <c:v>1.8</c:v>
                </c:pt>
                <c:pt idx="13">
                  <c:v>3.8</c:v>
                </c:pt>
                <c:pt idx="14">
                  <c:v>2.7</c:v>
                </c:pt>
                <c:pt idx="15">
                  <c:v>2.1</c:v>
                </c:pt>
                <c:pt idx="16">
                  <c:v>0.8</c:v>
                </c:pt>
                <c:pt idx="17">
                  <c:v>-0.6</c:v>
                </c:pt>
                <c:pt idx="18">
                  <c:v>-1.7</c:v>
                </c:pt>
                <c:pt idx="19">
                  <c:v>0.4</c:v>
                </c:pt>
                <c:pt idx="20">
                  <c:v>-0.6</c:v>
                </c:pt>
                <c:pt idx="21">
                  <c:v>0.8</c:v>
                </c:pt>
                <c:pt idx="22">
                  <c:v>-0.2</c:v>
                </c:pt>
                <c:pt idx="23">
                  <c:v>-1.9</c:v>
                </c:pt>
                <c:pt idx="24">
                  <c:v>-3.2</c:v>
                </c:pt>
                <c:pt idx="25">
                  <c:v>-1.9</c:v>
                </c:pt>
                <c:pt idx="26">
                  <c:v>-1.9</c:v>
                </c:pt>
                <c:pt idx="27">
                  <c:v>-3</c:v>
                </c:pt>
                <c:pt idx="28">
                  <c:v>-4.5999999999999996</c:v>
                </c:pt>
                <c:pt idx="29">
                  <c:v>-5.8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F-4A36-9C5D-BDDEAE4851B0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(Nov!$E$10:$E$19,Nov!$E$21:$E$30,Nov!$E$32:$E$41)</c:f>
              <c:numCache>
                <c:formatCode>General</c:formatCode>
                <c:ptCount val="30"/>
                <c:pt idx="0">
                  <c:v>7.1</c:v>
                </c:pt>
                <c:pt idx="1">
                  <c:v>4.4000000000000004</c:v>
                </c:pt>
                <c:pt idx="2">
                  <c:v>3.3</c:v>
                </c:pt>
                <c:pt idx="3">
                  <c:v>2.2000000000000002</c:v>
                </c:pt>
                <c:pt idx="4">
                  <c:v>2.7</c:v>
                </c:pt>
                <c:pt idx="5">
                  <c:v>1.5</c:v>
                </c:pt>
                <c:pt idx="6">
                  <c:v>2.4</c:v>
                </c:pt>
                <c:pt idx="7">
                  <c:v>3.5</c:v>
                </c:pt>
                <c:pt idx="8">
                  <c:v>1.5</c:v>
                </c:pt>
                <c:pt idx="9">
                  <c:v>5</c:v>
                </c:pt>
                <c:pt idx="10">
                  <c:v>7</c:v>
                </c:pt>
                <c:pt idx="11">
                  <c:v>6.7</c:v>
                </c:pt>
                <c:pt idx="12">
                  <c:v>5.2</c:v>
                </c:pt>
                <c:pt idx="13">
                  <c:v>5.0999999999999996</c:v>
                </c:pt>
                <c:pt idx="14">
                  <c:v>3.7</c:v>
                </c:pt>
                <c:pt idx="15">
                  <c:v>2.4</c:v>
                </c:pt>
                <c:pt idx="16">
                  <c:v>1.9</c:v>
                </c:pt>
                <c:pt idx="17">
                  <c:v>1.8</c:v>
                </c:pt>
                <c:pt idx="18">
                  <c:v>1.9</c:v>
                </c:pt>
                <c:pt idx="19">
                  <c:v>2.5</c:v>
                </c:pt>
                <c:pt idx="20">
                  <c:v>3.1</c:v>
                </c:pt>
                <c:pt idx="21">
                  <c:v>1.6</c:v>
                </c:pt>
                <c:pt idx="22">
                  <c:v>0.8</c:v>
                </c:pt>
                <c:pt idx="23">
                  <c:v>-0.2</c:v>
                </c:pt>
                <c:pt idx="24">
                  <c:v>0</c:v>
                </c:pt>
                <c:pt idx="25">
                  <c:v>-0.9</c:v>
                </c:pt>
                <c:pt idx="26">
                  <c:v>-0.9</c:v>
                </c:pt>
                <c:pt idx="27">
                  <c:v>-1.9</c:v>
                </c:pt>
                <c:pt idx="28">
                  <c:v>-2.8</c:v>
                </c:pt>
                <c:pt idx="29">
                  <c:v>-2.5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4F-4A36-9C5D-BDDEAE485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9903"/>
        <c:axId val="1"/>
      </c:lineChart>
      <c:catAx>
        <c:axId val="34369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6990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(Nov!$F$10:$F$19,Nov!$F$21:$F$30,Nov!$F$32:$F$41)</c:f>
              <c:numCache>
                <c:formatCode>General</c:formatCode>
                <c:ptCount val="30"/>
                <c:pt idx="0">
                  <c:v>31</c:v>
                </c:pt>
                <c:pt idx="1">
                  <c:v>44</c:v>
                </c:pt>
                <c:pt idx="2">
                  <c:v>27</c:v>
                </c:pt>
                <c:pt idx="3">
                  <c:v>29</c:v>
                </c:pt>
                <c:pt idx="4">
                  <c:v>23</c:v>
                </c:pt>
                <c:pt idx="5">
                  <c:v>18</c:v>
                </c:pt>
                <c:pt idx="6">
                  <c:v>11</c:v>
                </c:pt>
                <c:pt idx="7">
                  <c:v>23</c:v>
                </c:pt>
                <c:pt idx="8">
                  <c:v>16</c:v>
                </c:pt>
                <c:pt idx="9">
                  <c:v>18</c:v>
                </c:pt>
                <c:pt idx="10">
                  <c:v>10</c:v>
                </c:pt>
                <c:pt idx="11">
                  <c:v>10</c:v>
                </c:pt>
                <c:pt idx="12">
                  <c:v>18</c:v>
                </c:pt>
                <c:pt idx="13">
                  <c:v>23</c:v>
                </c:pt>
                <c:pt idx="14">
                  <c:v>16</c:v>
                </c:pt>
                <c:pt idx="15">
                  <c:v>8</c:v>
                </c:pt>
                <c:pt idx="16">
                  <c:v>23</c:v>
                </c:pt>
                <c:pt idx="17">
                  <c:v>11</c:v>
                </c:pt>
                <c:pt idx="18">
                  <c:v>10</c:v>
                </c:pt>
                <c:pt idx="19">
                  <c:v>8</c:v>
                </c:pt>
                <c:pt idx="20">
                  <c:v>18</c:v>
                </c:pt>
                <c:pt idx="21">
                  <c:v>27</c:v>
                </c:pt>
                <c:pt idx="22">
                  <c:v>26</c:v>
                </c:pt>
                <c:pt idx="23">
                  <c:v>11</c:v>
                </c:pt>
                <c:pt idx="24">
                  <c:v>10</c:v>
                </c:pt>
                <c:pt idx="25">
                  <c:v>27</c:v>
                </c:pt>
                <c:pt idx="26">
                  <c:v>47</c:v>
                </c:pt>
                <c:pt idx="27">
                  <c:v>27</c:v>
                </c:pt>
                <c:pt idx="28">
                  <c:v>26</c:v>
                </c:pt>
                <c:pt idx="2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C-4D2C-8083-127C14EB8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72303"/>
        <c:axId val="1"/>
      </c:lineChart>
      <c:catAx>
        <c:axId val="34372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7230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(Nov!$G$10:$G$19,Nov!$G$21:$G$30,Nov!$G$32:$G$41)</c:f>
              <c:numCache>
                <c:formatCode>General</c:formatCode>
                <c:ptCount val="30"/>
                <c:pt idx="0">
                  <c:v>16</c:v>
                </c:pt>
                <c:pt idx="1">
                  <c:v>4.8</c:v>
                </c:pt>
                <c:pt idx="2">
                  <c:v>3.4</c:v>
                </c:pt>
                <c:pt idx="3">
                  <c:v>1.6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1</c:v>
                </c:pt>
                <c:pt idx="14">
                  <c:v>0</c:v>
                </c:pt>
                <c:pt idx="15">
                  <c:v>0.2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</c:v>
                </c:pt>
                <c:pt idx="21">
                  <c:v>0.6</c:v>
                </c:pt>
                <c:pt idx="22">
                  <c:v>0</c:v>
                </c:pt>
                <c:pt idx="23">
                  <c:v>0</c:v>
                </c:pt>
                <c:pt idx="24">
                  <c:v>0.8</c:v>
                </c:pt>
                <c:pt idx="25">
                  <c:v>1</c:v>
                </c:pt>
                <c:pt idx="26">
                  <c:v>1</c:v>
                </c:pt>
                <c:pt idx="27">
                  <c:v>5.2</c:v>
                </c:pt>
                <c:pt idx="28">
                  <c:v>4</c:v>
                </c:pt>
                <c:pt idx="29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E-4CDA-98A6-8EE844909DD0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(Nov!$H$10:$H$19,Nov!$H$21:$H$30,Nov!$H$32:$H$41)</c:f>
              <c:numCache>
                <c:formatCode>General</c:formatCode>
                <c:ptCount val="30"/>
                <c:pt idx="0">
                  <c:v>16</c:v>
                </c:pt>
                <c:pt idx="1">
                  <c:v>20.8</c:v>
                </c:pt>
                <c:pt idx="2">
                  <c:v>24.2</c:v>
                </c:pt>
                <c:pt idx="3">
                  <c:v>25.8</c:v>
                </c:pt>
                <c:pt idx="4">
                  <c:v>25.8</c:v>
                </c:pt>
                <c:pt idx="5">
                  <c:v>25.8</c:v>
                </c:pt>
                <c:pt idx="6">
                  <c:v>26</c:v>
                </c:pt>
                <c:pt idx="7">
                  <c:v>26.2</c:v>
                </c:pt>
                <c:pt idx="8">
                  <c:v>26.2</c:v>
                </c:pt>
                <c:pt idx="9">
                  <c:v>26.2</c:v>
                </c:pt>
                <c:pt idx="10">
                  <c:v>26.2</c:v>
                </c:pt>
                <c:pt idx="11">
                  <c:v>26.2</c:v>
                </c:pt>
                <c:pt idx="12">
                  <c:v>32.200000000000003</c:v>
                </c:pt>
                <c:pt idx="13">
                  <c:v>33.200000000000003</c:v>
                </c:pt>
                <c:pt idx="14">
                  <c:v>33.200000000000003</c:v>
                </c:pt>
                <c:pt idx="15">
                  <c:v>33.400000000000006</c:v>
                </c:pt>
                <c:pt idx="16">
                  <c:v>33.800000000000004</c:v>
                </c:pt>
                <c:pt idx="17">
                  <c:v>34.000000000000007</c:v>
                </c:pt>
                <c:pt idx="18">
                  <c:v>34.20000000000001</c:v>
                </c:pt>
                <c:pt idx="19">
                  <c:v>34.400000000000013</c:v>
                </c:pt>
                <c:pt idx="20">
                  <c:v>34.400000000000013</c:v>
                </c:pt>
                <c:pt idx="21">
                  <c:v>35.000000000000014</c:v>
                </c:pt>
                <c:pt idx="22">
                  <c:v>35.000000000000014</c:v>
                </c:pt>
                <c:pt idx="23">
                  <c:v>35.000000000000014</c:v>
                </c:pt>
                <c:pt idx="24">
                  <c:v>35.800000000000011</c:v>
                </c:pt>
                <c:pt idx="25">
                  <c:v>36.800000000000011</c:v>
                </c:pt>
                <c:pt idx="26">
                  <c:v>37.800000000000011</c:v>
                </c:pt>
                <c:pt idx="27">
                  <c:v>43.000000000000014</c:v>
                </c:pt>
                <c:pt idx="28">
                  <c:v>47.000000000000014</c:v>
                </c:pt>
                <c:pt idx="29">
                  <c:v>48.600000000000016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E-4CDA-98A6-8EE844909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427071"/>
        <c:axId val="1"/>
      </c:barChart>
      <c:catAx>
        <c:axId val="20274270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27427071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9047671151936579"/>
          <c:w val="0.93500076090556716"/>
          <c:h val="0.61624818432735995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(Nov!$J$10:$J$19,Nov!$J$21:$J$30,Nov!$J$32:$J$41)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17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D-4EFB-9A2B-73A27C820E09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(Nov!$K$10:$K$19,Nov!$K$21:$K$30,Nov!$K$32:$K$41)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18</c:v>
                </c:pt>
                <c:pt idx="2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BD-4EFB-9A2B-73A27C820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84559"/>
        <c:axId val="1"/>
      </c:barChart>
      <c:catAx>
        <c:axId val="14118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6778829116948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184559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1356487617941962"/>
          <c:w val="0.2141369922184593"/>
          <c:h val="6.51651214833056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(Nov!$I$10:$I$19,Nov!$I$21:$I$30,Nov!$I$32:$I$41)</c:f>
              <c:numCache>
                <c:formatCode>0.00</c:formatCode>
                <c:ptCount val="30"/>
                <c:pt idx="0">
                  <c:v>7.0000000000000007E-2</c:v>
                </c:pt>
                <c:pt idx="1">
                  <c:v>3.43</c:v>
                </c:pt>
                <c:pt idx="2">
                  <c:v>0</c:v>
                </c:pt>
                <c:pt idx="3">
                  <c:v>0.9</c:v>
                </c:pt>
                <c:pt idx="4">
                  <c:v>2.08</c:v>
                </c:pt>
                <c:pt idx="5">
                  <c:v>4.9800000000000004</c:v>
                </c:pt>
                <c:pt idx="6">
                  <c:v>5.33</c:v>
                </c:pt>
                <c:pt idx="7">
                  <c:v>0.57999999999999996</c:v>
                </c:pt>
                <c:pt idx="8">
                  <c:v>3.27</c:v>
                </c:pt>
                <c:pt idx="9">
                  <c:v>0.35</c:v>
                </c:pt>
                <c:pt idx="10">
                  <c:v>5.0199999999999996</c:v>
                </c:pt>
                <c:pt idx="11">
                  <c:v>4.95</c:v>
                </c:pt>
                <c:pt idx="12">
                  <c:v>0.38</c:v>
                </c:pt>
                <c:pt idx="13">
                  <c:v>1.75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1.47</c:v>
                </c:pt>
                <c:pt idx="18">
                  <c:v>4.43</c:v>
                </c:pt>
                <c:pt idx="19">
                  <c:v>4.43</c:v>
                </c:pt>
                <c:pt idx="20">
                  <c:v>3.13</c:v>
                </c:pt>
                <c:pt idx="21">
                  <c:v>0.12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0.38</c:v>
                </c:pt>
                <c:pt idx="27">
                  <c:v>0</c:v>
                </c:pt>
                <c:pt idx="28">
                  <c:v>0.27</c:v>
                </c:pt>
                <c:pt idx="29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2-4941-A7FC-F52544F3C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4271"/>
        <c:axId val="1"/>
      </c:barChart>
      <c:catAx>
        <c:axId val="37204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04271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(Dez!$B$10:$B$19,Dez!$B$21:$B$30,Dez!$B$32:$B$42)</c:f>
              <c:numCache>
                <c:formatCode>General</c:formatCode>
                <c:ptCount val="31"/>
                <c:pt idx="0">
                  <c:v>3.8</c:v>
                </c:pt>
                <c:pt idx="1">
                  <c:v>2.4</c:v>
                </c:pt>
                <c:pt idx="2">
                  <c:v>-2.4</c:v>
                </c:pt>
                <c:pt idx="3">
                  <c:v>3.8</c:v>
                </c:pt>
                <c:pt idx="4">
                  <c:v>2.1</c:v>
                </c:pt>
                <c:pt idx="5">
                  <c:v>1.3</c:v>
                </c:pt>
                <c:pt idx="6">
                  <c:v>1.8</c:v>
                </c:pt>
                <c:pt idx="7">
                  <c:v>0.5</c:v>
                </c:pt>
                <c:pt idx="8">
                  <c:v>1.2</c:v>
                </c:pt>
                <c:pt idx="9">
                  <c:v>0.4</c:v>
                </c:pt>
                <c:pt idx="10">
                  <c:v>0.2</c:v>
                </c:pt>
                <c:pt idx="11">
                  <c:v>0.7</c:v>
                </c:pt>
                <c:pt idx="12">
                  <c:v>1.9</c:v>
                </c:pt>
                <c:pt idx="13">
                  <c:v>5.2</c:v>
                </c:pt>
                <c:pt idx="14">
                  <c:v>3.6</c:v>
                </c:pt>
                <c:pt idx="15">
                  <c:v>-1.2</c:v>
                </c:pt>
                <c:pt idx="16">
                  <c:v>-0.2</c:v>
                </c:pt>
                <c:pt idx="17">
                  <c:v>0.3</c:v>
                </c:pt>
                <c:pt idx="18">
                  <c:v>-0.3</c:v>
                </c:pt>
                <c:pt idx="19">
                  <c:v>-0.7</c:v>
                </c:pt>
                <c:pt idx="20">
                  <c:v>-4.5999999999999996</c:v>
                </c:pt>
                <c:pt idx="21">
                  <c:v>-4.9000000000000004</c:v>
                </c:pt>
                <c:pt idx="22">
                  <c:v>4.8</c:v>
                </c:pt>
                <c:pt idx="23">
                  <c:v>6</c:v>
                </c:pt>
                <c:pt idx="24">
                  <c:v>5.9</c:v>
                </c:pt>
                <c:pt idx="25">
                  <c:v>4.4000000000000004</c:v>
                </c:pt>
                <c:pt idx="26">
                  <c:v>3.5</c:v>
                </c:pt>
                <c:pt idx="27">
                  <c:v>8.6</c:v>
                </c:pt>
                <c:pt idx="28">
                  <c:v>9.8000000000000007</c:v>
                </c:pt>
                <c:pt idx="29">
                  <c:v>12.3</c:v>
                </c:pt>
                <c:pt idx="30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2F-48D9-9E57-D890D704FCA9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(Dez!$C$10:$C$19,Dez!$C$21:$C$30,Dez!$C$32:$C$42)</c:f>
              <c:numCache>
                <c:formatCode>General</c:formatCode>
                <c:ptCount val="31"/>
                <c:pt idx="0">
                  <c:v>-0.4</c:v>
                </c:pt>
                <c:pt idx="1">
                  <c:v>-4.3</c:v>
                </c:pt>
                <c:pt idx="2">
                  <c:v>-5.6</c:v>
                </c:pt>
                <c:pt idx="3">
                  <c:v>-2.7</c:v>
                </c:pt>
                <c:pt idx="4">
                  <c:v>-2.2000000000000002</c:v>
                </c:pt>
                <c:pt idx="5">
                  <c:v>-3.6</c:v>
                </c:pt>
                <c:pt idx="6">
                  <c:v>-3</c:v>
                </c:pt>
                <c:pt idx="7">
                  <c:v>-1.1000000000000001</c:v>
                </c:pt>
                <c:pt idx="8">
                  <c:v>-4.2</c:v>
                </c:pt>
                <c:pt idx="9">
                  <c:v>-5.6</c:v>
                </c:pt>
                <c:pt idx="10">
                  <c:v>-1.7</c:v>
                </c:pt>
                <c:pt idx="11">
                  <c:v>-4.8</c:v>
                </c:pt>
                <c:pt idx="12">
                  <c:v>-2.6</c:v>
                </c:pt>
                <c:pt idx="13">
                  <c:v>-1.6</c:v>
                </c:pt>
                <c:pt idx="14">
                  <c:v>-5.8</c:v>
                </c:pt>
                <c:pt idx="15">
                  <c:v>-6.8</c:v>
                </c:pt>
                <c:pt idx="16">
                  <c:v>-4</c:v>
                </c:pt>
                <c:pt idx="17">
                  <c:v>-7</c:v>
                </c:pt>
                <c:pt idx="18">
                  <c:v>-7.4</c:v>
                </c:pt>
                <c:pt idx="19">
                  <c:v>-9</c:v>
                </c:pt>
                <c:pt idx="20">
                  <c:v>-7.8</c:v>
                </c:pt>
                <c:pt idx="21">
                  <c:v>-9.4</c:v>
                </c:pt>
                <c:pt idx="22">
                  <c:v>-9.3000000000000007</c:v>
                </c:pt>
                <c:pt idx="23">
                  <c:v>1</c:v>
                </c:pt>
                <c:pt idx="24">
                  <c:v>2.9</c:v>
                </c:pt>
                <c:pt idx="25">
                  <c:v>2.1</c:v>
                </c:pt>
                <c:pt idx="26">
                  <c:v>0.8</c:v>
                </c:pt>
                <c:pt idx="27">
                  <c:v>2.2999999999999998</c:v>
                </c:pt>
                <c:pt idx="28">
                  <c:v>2.9</c:v>
                </c:pt>
                <c:pt idx="29">
                  <c:v>6.8</c:v>
                </c:pt>
                <c:pt idx="3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2F-48D9-9E57-D890D704FCA9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(Dez!$E$10:$E$19,Dez!$E$21:$E$30,Dez!$E$32:$E$42)</c:f>
              <c:numCache>
                <c:formatCode>General</c:formatCode>
                <c:ptCount val="31"/>
                <c:pt idx="0">
                  <c:v>1.6</c:v>
                </c:pt>
                <c:pt idx="1">
                  <c:v>-0.52</c:v>
                </c:pt>
                <c:pt idx="2">
                  <c:v>-4.03</c:v>
                </c:pt>
                <c:pt idx="3">
                  <c:v>0.95</c:v>
                </c:pt>
                <c:pt idx="4">
                  <c:v>0.2</c:v>
                </c:pt>
                <c:pt idx="5">
                  <c:v>-2.52</c:v>
                </c:pt>
                <c:pt idx="6">
                  <c:v>-0.75</c:v>
                </c:pt>
                <c:pt idx="7">
                  <c:v>-0.35</c:v>
                </c:pt>
                <c:pt idx="8">
                  <c:v>-1.33</c:v>
                </c:pt>
                <c:pt idx="9">
                  <c:v>-2.5099999999999998</c:v>
                </c:pt>
                <c:pt idx="10">
                  <c:v>-0.94</c:v>
                </c:pt>
                <c:pt idx="11">
                  <c:v>-2.12</c:v>
                </c:pt>
                <c:pt idx="12">
                  <c:v>-0.64</c:v>
                </c:pt>
                <c:pt idx="13">
                  <c:v>1.59</c:v>
                </c:pt>
                <c:pt idx="14">
                  <c:v>-0.26</c:v>
                </c:pt>
                <c:pt idx="15">
                  <c:v>-3.48</c:v>
                </c:pt>
                <c:pt idx="16">
                  <c:v>-2.02</c:v>
                </c:pt>
                <c:pt idx="17">
                  <c:v>-3.89</c:v>
                </c:pt>
                <c:pt idx="18">
                  <c:v>-3.8</c:v>
                </c:pt>
                <c:pt idx="19">
                  <c:v>-6.02</c:v>
                </c:pt>
                <c:pt idx="20">
                  <c:v>-5.91</c:v>
                </c:pt>
                <c:pt idx="21">
                  <c:v>-7.4</c:v>
                </c:pt>
                <c:pt idx="22">
                  <c:v>-1.78</c:v>
                </c:pt>
                <c:pt idx="23">
                  <c:v>3.67</c:v>
                </c:pt>
                <c:pt idx="24">
                  <c:v>4.13</c:v>
                </c:pt>
                <c:pt idx="25">
                  <c:v>3.11</c:v>
                </c:pt>
                <c:pt idx="26">
                  <c:v>2.4900000000000002</c:v>
                </c:pt>
                <c:pt idx="27">
                  <c:v>4.63</c:v>
                </c:pt>
                <c:pt idx="28">
                  <c:v>5.71</c:v>
                </c:pt>
                <c:pt idx="29">
                  <c:v>9.83</c:v>
                </c:pt>
                <c:pt idx="30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2F-48D9-9E57-D890D704F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54047"/>
        <c:axId val="1"/>
      </c:lineChart>
      <c:catAx>
        <c:axId val="94975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(Dez!$F$10:$F$19,Dez!$F$21:$F$30,Dez!$F$32:$F$42)</c:f>
              <c:numCache>
                <c:formatCode>General</c:formatCode>
                <c:ptCount val="31"/>
                <c:pt idx="0">
                  <c:v>35</c:v>
                </c:pt>
                <c:pt idx="1">
                  <c:v>39</c:v>
                </c:pt>
                <c:pt idx="2">
                  <c:v>11</c:v>
                </c:pt>
                <c:pt idx="3">
                  <c:v>39</c:v>
                </c:pt>
                <c:pt idx="4">
                  <c:v>23</c:v>
                </c:pt>
                <c:pt idx="5">
                  <c:v>16</c:v>
                </c:pt>
                <c:pt idx="6">
                  <c:v>29</c:v>
                </c:pt>
                <c:pt idx="7">
                  <c:v>8</c:v>
                </c:pt>
                <c:pt idx="8">
                  <c:v>11</c:v>
                </c:pt>
                <c:pt idx="9">
                  <c:v>39</c:v>
                </c:pt>
                <c:pt idx="10">
                  <c:v>27</c:v>
                </c:pt>
                <c:pt idx="11">
                  <c:v>18</c:v>
                </c:pt>
                <c:pt idx="12">
                  <c:v>16</c:v>
                </c:pt>
                <c:pt idx="13">
                  <c:v>8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7</c:v>
                </c:pt>
                <c:pt idx="22">
                  <c:v>13</c:v>
                </c:pt>
                <c:pt idx="23">
                  <c:v>14</c:v>
                </c:pt>
                <c:pt idx="24">
                  <c:v>18</c:v>
                </c:pt>
                <c:pt idx="25">
                  <c:v>16</c:v>
                </c:pt>
                <c:pt idx="26">
                  <c:v>19</c:v>
                </c:pt>
                <c:pt idx="27">
                  <c:v>74</c:v>
                </c:pt>
                <c:pt idx="28">
                  <c:v>42</c:v>
                </c:pt>
                <c:pt idx="29">
                  <c:v>27</c:v>
                </c:pt>
                <c:pt idx="3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5-4F59-86D5-8739EE93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67247"/>
        <c:axId val="1"/>
      </c:lineChart>
      <c:catAx>
        <c:axId val="949767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72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(Dez!$G$10:$G$19,Dez!$G$21:$G$30,Dez!$G$32:$G$42)</c:f>
              <c:numCache>
                <c:formatCode>General</c:formatCode>
                <c:ptCount val="31"/>
                <c:pt idx="0">
                  <c:v>2.2000000000000002</c:v>
                </c:pt>
                <c:pt idx="1">
                  <c:v>6</c:v>
                </c:pt>
                <c:pt idx="2">
                  <c:v>0.4</c:v>
                </c:pt>
                <c:pt idx="3">
                  <c:v>18</c:v>
                </c:pt>
                <c:pt idx="4">
                  <c:v>1</c:v>
                </c:pt>
                <c:pt idx="5">
                  <c:v>0</c:v>
                </c:pt>
                <c:pt idx="6">
                  <c:v>0.6</c:v>
                </c:pt>
                <c:pt idx="7">
                  <c:v>21.4</c:v>
                </c:pt>
                <c:pt idx="8">
                  <c:v>5.8</c:v>
                </c:pt>
                <c:pt idx="9">
                  <c:v>5.8</c:v>
                </c:pt>
                <c:pt idx="10">
                  <c:v>2.4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3.4</c:v>
                </c:pt>
                <c:pt idx="25">
                  <c:v>6.8</c:v>
                </c:pt>
                <c:pt idx="26">
                  <c:v>2</c:v>
                </c:pt>
                <c:pt idx="27">
                  <c:v>5</c:v>
                </c:pt>
                <c:pt idx="28">
                  <c:v>13.2</c:v>
                </c:pt>
                <c:pt idx="29">
                  <c:v>0.2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5-45E3-9F38-C51B9AD946B2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(Dez!$H$10:$H$19,Dez!$H$21:$H$30,Dez!$H$32:$H$42)</c:f>
              <c:numCache>
                <c:formatCode>General</c:formatCode>
                <c:ptCount val="31"/>
                <c:pt idx="0">
                  <c:v>2.2000000000000002</c:v>
                </c:pt>
                <c:pt idx="1">
                  <c:v>8.1999999999999993</c:v>
                </c:pt>
                <c:pt idx="2">
                  <c:v>8.6</c:v>
                </c:pt>
                <c:pt idx="3">
                  <c:v>26.6</c:v>
                </c:pt>
                <c:pt idx="4">
                  <c:v>27.6</c:v>
                </c:pt>
                <c:pt idx="5">
                  <c:v>27.6</c:v>
                </c:pt>
                <c:pt idx="6">
                  <c:v>28.200000000000003</c:v>
                </c:pt>
                <c:pt idx="7">
                  <c:v>49.6</c:v>
                </c:pt>
                <c:pt idx="8">
                  <c:v>55.4</c:v>
                </c:pt>
                <c:pt idx="9">
                  <c:v>61.199999999999996</c:v>
                </c:pt>
                <c:pt idx="10">
                  <c:v>63.599999999999994</c:v>
                </c:pt>
                <c:pt idx="11">
                  <c:v>63.599999999999994</c:v>
                </c:pt>
                <c:pt idx="12">
                  <c:v>63.599999999999994</c:v>
                </c:pt>
                <c:pt idx="13">
                  <c:v>63.599999999999994</c:v>
                </c:pt>
                <c:pt idx="14">
                  <c:v>63.599999999999994</c:v>
                </c:pt>
                <c:pt idx="15">
                  <c:v>63.599999999999994</c:v>
                </c:pt>
                <c:pt idx="16">
                  <c:v>63.599999999999994</c:v>
                </c:pt>
                <c:pt idx="17">
                  <c:v>63.599999999999994</c:v>
                </c:pt>
                <c:pt idx="18">
                  <c:v>63.599999999999994</c:v>
                </c:pt>
                <c:pt idx="19">
                  <c:v>63.599999999999994</c:v>
                </c:pt>
                <c:pt idx="20">
                  <c:v>63.599999999999994</c:v>
                </c:pt>
                <c:pt idx="21">
                  <c:v>63.599999999999994</c:v>
                </c:pt>
                <c:pt idx="22">
                  <c:v>63.599999999999994</c:v>
                </c:pt>
                <c:pt idx="23">
                  <c:v>63.599999999999994</c:v>
                </c:pt>
                <c:pt idx="24">
                  <c:v>67</c:v>
                </c:pt>
                <c:pt idx="25">
                  <c:v>73.8</c:v>
                </c:pt>
                <c:pt idx="26">
                  <c:v>75.8</c:v>
                </c:pt>
                <c:pt idx="27">
                  <c:v>80.8</c:v>
                </c:pt>
                <c:pt idx="28">
                  <c:v>94</c:v>
                </c:pt>
                <c:pt idx="29">
                  <c:v>94.2</c:v>
                </c:pt>
                <c:pt idx="30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95-45E3-9F38-C51B9AD94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847"/>
        <c:axId val="1"/>
      </c:barChart>
      <c:catAx>
        <c:axId val="949758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8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8449197860962566"/>
          <c:w val="0.93500076090556716"/>
          <c:h val="0.63101604278074863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(Dez!$J$10:$J$19,Dez!$J$21:$J$30,Dez!$J$32:$J$42)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20</c:v>
                </c:pt>
                <c:pt idx="9">
                  <c:v>10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D-424E-BDCD-A904FE082629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(Dez!$K$10:$K$19,Dez!$K$21:$K$30,Dez!$K$32:$K$42)</c:f>
              <c:numCache>
                <c:formatCode>General</c:formatCode>
                <c:ptCount val="31"/>
                <c:pt idx="0">
                  <c:v>11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28</c:v>
                </c:pt>
                <c:pt idx="9">
                  <c:v>31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25</c:v>
                </c:pt>
                <c:pt idx="14">
                  <c:v>23</c:v>
                </c:pt>
                <c:pt idx="15">
                  <c:v>22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17</c:v>
                </c:pt>
                <c:pt idx="23">
                  <c:v>16</c:v>
                </c:pt>
                <c:pt idx="24">
                  <c:v>15</c:v>
                </c:pt>
                <c:pt idx="25">
                  <c:v>10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D-424E-BDCD-A904FE082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8047"/>
        <c:axId val="1"/>
      </c:barChart>
      <c:catAx>
        <c:axId val="949758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7058823529411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58047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1749260012453815"/>
          <c:w val="0.2141369922184593"/>
          <c:h val="6.22028881440364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2394889959143456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(Feb!$B$10:$B$19,Feb!$B$21:$B$30,Feb!$B$32:$B$40)</c:f>
              <c:numCache>
                <c:formatCode>General</c:formatCode>
                <c:ptCount val="29"/>
                <c:pt idx="0">
                  <c:v>4.4000000000000004</c:v>
                </c:pt>
                <c:pt idx="1">
                  <c:v>7.2</c:v>
                </c:pt>
                <c:pt idx="2">
                  <c:v>9.4</c:v>
                </c:pt>
                <c:pt idx="3">
                  <c:v>7.8</c:v>
                </c:pt>
                <c:pt idx="4">
                  <c:v>8.9</c:v>
                </c:pt>
                <c:pt idx="5">
                  <c:v>8.3000000000000007</c:v>
                </c:pt>
                <c:pt idx="6">
                  <c:v>6.1</c:v>
                </c:pt>
                <c:pt idx="7">
                  <c:v>4.2</c:v>
                </c:pt>
                <c:pt idx="8">
                  <c:v>1.1000000000000001</c:v>
                </c:pt>
                <c:pt idx="9">
                  <c:v>2.8</c:v>
                </c:pt>
                <c:pt idx="10">
                  <c:v>-4.7</c:v>
                </c:pt>
                <c:pt idx="11">
                  <c:v>-5.9</c:v>
                </c:pt>
                <c:pt idx="12">
                  <c:v>-8</c:v>
                </c:pt>
                <c:pt idx="13">
                  <c:v>-3.1</c:v>
                </c:pt>
                <c:pt idx="14">
                  <c:v>1.7</c:v>
                </c:pt>
                <c:pt idx="15">
                  <c:v>7.4</c:v>
                </c:pt>
                <c:pt idx="16">
                  <c:v>8.1999999999999993</c:v>
                </c:pt>
                <c:pt idx="17">
                  <c:v>8.5</c:v>
                </c:pt>
                <c:pt idx="18">
                  <c:v>12</c:v>
                </c:pt>
                <c:pt idx="19">
                  <c:v>12.4</c:v>
                </c:pt>
                <c:pt idx="20">
                  <c:v>12.9</c:v>
                </c:pt>
                <c:pt idx="21">
                  <c:v>12.6</c:v>
                </c:pt>
                <c:pt idx="22">
                  <c:v>13.6</c:v>
                </c:pt>
                <c:pt idx="23">
                  <c:v>15.7</c:v>
                </c:pt>
                <c:pt idx="24">
                  <c:v>15.7</c:v>
                </c:pt>
                <c:pt idx="25">
                  <c:v>13.2</c:v>
                </c:pt>
                <c:pt idx="26">
                  <c:v>6</c:v>
                </c:pt>
                <c:pt idx="2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6-4D82-B172-17D777F9B162}"/>
            </c:ext>
          </c:extLst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(Feb!$C$10:$C$19,Feb!$C$21:$C$30,Feb!$C$32:$C$40)</c:f>
              <c:numCache>
                <c:formatCode>General</c:formatCode>
                <c:ptCount val="29"/>
                <c:pt idx="0">
                  <c:v>1.1000000000000001</c:v>
                </c:pt>
                <c:pt idx="1">
                  <c:v>2.8</c:v>
                </c:pt>
                <c:pt idx="2">
                  <c:v>5</c:v>
                </c:pt>
                <c:pt idx="3">
                  <c:v>2.8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-1.1000000000000001</c:v>
                </c:pt>
                <c:pt idx="7">
                  <c:v>-1.2</c:v>
                </c:pt>
                <c:pt idx="8">
                  <c:v>-1.9</c:v>
                </c:pt>
                <c:pt idx="9">
                  <c:v>-4.7</c:v>
                </c:pt>
                <c:pt idx="10">
                  <c:v>-9.3000000000000007</c:v>
                </c:pt>
                <c:pt idx="11">
                  <c:v>-9.8000000000000007</c:v>
                </c:pt>
                <c:pt idx="12">
                  <c:v>-10.199999999999999</c:v>
                </c:pt>
                <c:pt idx="13">
                  <c:v>-10.9</c:v>
                </c:pt>
                <c:pt idx="14">
                  <c:v>-7</c:v>
                </c:pt>
                <c:pt idx="15">
                  <c:v>0</c:v>
                </c:pt>
                <c:pt idx="16">
                  <c:v>2.6</c:v>
                </c:pt>
                <c:pt idx="17">
                  <c:v>1.1000000000000001</c:v>
                </c:pt>
                <c:pt idx="18">
                  <c:v>4.5</c:v>
                </c:pt>
                <c:pt idx="19">
                  <c:v>3</c:v>
                </c:pt>
                <c:pt idx="20">
                  <c:v>3.4</c:v>
                </c:pt>
                <c:pt idx="21">
                  <c:v>4.5999999999999996</c:v>
                </c:pt>
                <c:pt idx="22">
                  <c:v>5</c:v>
                </c:pt>
                <c:pt idx="23">
                  <c:v>4.8</c:v>
                </c:pt>
                <c:pt idx="24">
                  <c:v>4.7</c:v>
                </c:pt>
                <c:pt idx="25">
                  <c:v>5.0999999999999996</c:v>
                </c:pt>
                <c:pt idx="26">
                  <c:v>1.2</c:v>
                </c:pt>
                <c:pt idx="27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6-4D82-B172-17D777F9B162}"/>
            </c:ext>
          </c:extLst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(Feb!$E$10:$E$19,Feb!$E$21:$E$30,Feb!$E$32:$E$40)</c:f>
              <c:numCache>
                <c:formatCode>General</c:formatCode>
                <c:ptCount val="29"/>
                <c:pt idx="0">
                  <c:v>3</c:v>
                </c:pt>
                <c:pt idx="1">
                  <c:v>5.2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4.5999999999999996</c:v>
                </c:pt>
                <c:pt idx="7">
                  <c:v>0.9</c:v>
                </c:pt>
                <c:pt idx="8">
                  <c:v>-0.7</c:v>
                </c:pt>
                <c:pt idx="9">
                  <c:v>-0.4</c:v>
                </c:pt>
                <c:pt idx="10">
                  <c:v>-6.4</c:v>
                </c:pt>
                <c:pt idx="11">
                  <c:v>-8.3000000000000007</c:v>
                </c:pt>
                <c:pt idx="12">
                  <c:v>-9.1999999999999993</c:v>
                </c:pt>
                <c:pt idx="13">
                  <c:v>-7.4</c:v>
                </c:pt>
                <c:pt idx="14">
                  <c:v>-2</c:v>
                </c:pt>
                <c:pt idx="15">
                  <c:v>3.6</c:v>
                </c:pt>
                <c:pt idx="16">
                  <c:v>5.6</c:v>
                </c:pt>
                <c:pt idx="17">
                  <c:v>4</c:v>
                </c:pt>
                <c:pt idx="18">
                  <c:v>7.1</c:v>
                </c:pt>
                <c:pt idx="19">
                  <c:v>6.8</c:v>
                </c:pt>
                <c:pt idx="20">
                  <c:v>7.7</c:v>
                </c:pt>
                <c:pt idx="21">
                  <c:v>8.5</c:v>
                </c:pt>
                <c:pt idx="22">
                  <c:v>9.3000000000000007</c:v>
                </c:pt>
                <c:pt idx="23">
                  <c:v>9.6999999999999993</c:v>
                </c:pt>
                <c:pt idx="24">
                  <c:v>9.6999999999999993</c:v>
                </c:pt>
                <c:pt idx="25">
                  <c:v>8.6999999999999993</c:v>
                </c:pt>
                <c:pt idx="26">
                  <c:v>2.6</c:v>
                </c:pt>
                <c:pt idx="2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D6-4D82-B172-17D777F9B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241183"/>
        <c:axId val="1"/>
      </c:lineChart>
      <c:catAx>
        <c:axId val="14022411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62379421221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224118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16327001787406"/>
          <c:y val="0.90074837654439277"/>
          <c:w val="0.64393352279469285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2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37055067145732995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6878740137572"/>
          <c:y val="0.21221864951768488"/>
          <c:w val="0.86407903531906627"/>
          <c:h val="0.56591639871382637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(Dez!$I$10:$I$19,Dez!$I$21:$I$30,Dez!$I$32:$I$42)</c:f>
              <c:numCache>
                <c:formatCode>0.00</c:formatCode>
                <c:ptCount val="31"/>
                <c:pt idx="0">
                  <c:v>0.13</c:v>
                </c:pt>
                <c:pt idx="1">
                  <c:v>0.05</c:v>
                </c:pt>
                <c:pt idx="2">
                  <c:v>0.12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3.37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0.33</c:v>
                </c:pt>
                <c:pt idx="12">
                  <c:v>3.45</c:v>
                </c:pt>
                <c:pt idx="13">
                  <c:v>2.87</c:v>
                </c:pt>
                <c:pt idx="14">
                  <c:v>3.03</c:v>
                </c:pt>
                <c:pt idx="15">
                  <c:v>0.18</c:v>
                </c:pt>
                <c:pt idx="16">
                  <c:v>0</c:v>
                </c:pt>
                <c:pt idx="17">
                  <c:v>3.38</c:v>
                </c:pt>
                <c:pt idx="18">
                  <c:v>3.38</c:v>
                </c:pt>
                <c:pt idx="19">
                  <c:v>1.05</c:v>
                </c:pt>
                <c:pt idx="20">
                  <c:v>0</c:v>
                </c:pt>
                <c:pt idx="21">
                  <c:v>0.65</c:v>
                </c:pt>
                <c:pt idx="22">
                  <c:v>1.82</c:v>
                </c:pt>
                <c:pt idx="23">
                  <c:v>1.03</c:v>
                </c:pt>
                <c:pt idx="24">
                  <c:v>0.02</c:v>
                </c:pt>
                <c:pt idx="25">
                  <c:v>0.47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1.84</c:v>
                </c:pt>
                <c:pt idx="30">
                  <c:v>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D-4A08-9F30-076B1AE7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64047"/>
        <c:axId val="1"/>
      </c:barChart>
      <c:catAx>
        <c:axId val="949764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75884244372990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76404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591771800181798"/>
          <c:y val="0.90074837654439277"/>
          <c:w val="0.25546215166609126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</a:t>
            </a:r>
          </a:p>
        </c:rich>
      </c:tx>
      <c:layout>
        <c:manualLayout>
          <c:xMode val="edge"/>
          <c:yMode val="edge"/>
          <c:x val="0.45104166666666667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8333333333334E-2"/>
          <c:y val="0.12289562289562289"/>
          <c:w val="0.87652777777777779"/>
          <c:h val="0.75087378472222222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Überblick!$A$6</c:f>
              <c:strCache>
                <c:ptCount val="1"/>
                <c:pt idx="0">
                  <c:v>Temperatur Max.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Überblick!$C$6:$N$6</c:f>
              <c:numCache>
                <c:formatCode>General</c:formatCode>
                <c:ptCount val="12"/>
                <c:pt idx="0">
                  <c:v>6.8</c:v>
                </c:pt>
                <c:pt idx="1">
                  <c:v>15.7</c:v>
                </c:pt>
                <c:pt idx="2">
                  <c:v>19.8</c:v>
                </c:pt>
                <c:pt idx="3">
                  <c:v>19.2</c:v>
                </c:pt>
                <c:pt idx="4">
                  <c:v>22.5</c:v>
                </c:pt>
                <c:pt idx="5">
                  <c:v>27.6</c:v>
                </c:pt>
                <c:pt idx="6">
                  <c:v>25.8</c:v>
                </c:pt>
                <c:pt idx="7">
                  <c:v>28.2</c:v>
                </c:pt>
                <c:pt idx="8">
                  <c:v>24</c:v>
                </c:pt>
                <c:pt idx="9">
                  <c:v>19</c:v>
                </c:pt>
                <c:pt idx="10">
                  <c:v>12.3</c:v>
                </c:pt>
                <c:pt idx="11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1A-4437-9A5D-7C3BD07A5415}"/>
            </c:ext>
          </c:extLst>
        </c:ser>
        <c:ser>
          <c:idx val="1"/>
          <c:order val="1"/>
          <c:tx>
            <c:strRef>
              <c:f>Überblick!$A$7</c:f>
              <c:strCache>
                <c:ptCount val="1"/>
                <c:pt idx="0">
                  <c:v>Temperatur Min.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Überblick!$C$7:$N$7</c:f>
              <c:numCache>
                <c:formatCode>General</c:formatCode>
                <c:ptCount val="12"/>
                <c:pt idx="0">
                  <c:v>-8.6</c:v>
                </c:pt>
                <c:pt idx="1">
                  <c:v>-10.9</c:v>
                </c:pt>
                <c:pt idx="2">
                  <c:v>-6.5</c:v>
                </c:pt>
                <c:pt idx="3">
                  <c:v>-6.6</c:v>
                </c:pt>
                <c:pt idx="4">
                  <c:v>0.4</c:v>
                </c:pt>
                <c:pt idx="5">
                  <c:v>8.3000000000000007</c:v>
                </c:pt>
                <c:pt idx="6">
                  <c:v>8.6999999999999993</c:v>
                </c:pt>
                <c:pt idx="7">
                  <c:v>6.9</c:v>
                </c:pt>
                <c:pt idx="8">
                  <c:v>5.7</c:v>
                </c:pt>
                <c:pt idx="9">
                  <c:v>0.7</c:v>
                </c:pt>
                <c:pt idx="10">
                  <c:v>-5.8</c:v>
                </c:pt>
                <c:pt idx="11">
                  <c:v>-9.4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A-4437-9A5D-7C3BD07A5415}"/>
            </c:ext>
          </c:extLst>
        </c:ser>
        <c:ser>
          <c:idx val="2"/>
          <c:order val="2"/>
          <c:tx>
            <c:strRef>
              <c:f>Überblick!$A$8</c:f>
              <c:strCache>
                <c:ptCount val="1"/>
                <c:pt idx="0">
                  <c:v>Windchill Min.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Überblick!$C$8:$N$8</c:f>
              <c:numCache>
                <c:formatCode>General</c:formatCode>
                <c:ptCount val="12"/>
                <c:pt idx="0">
                  <c:v>-12</c:v>
                </c:pt>
                <c:pt idx="1">
                  <c:v>-17</c:v>
                </c:pt>
                <c:pt idx="2">
                  <c:v>-11</c:v>
                </c:pt>
                <c:pt idx="3">
                  <c:v>-12</c:v>
                </c:pt>
                <c:pt idx="4">
                  <c:v>-2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1A-4437-9A5D-7C3BD07A5415}"/>
            </c:ext>
          </c:extLst>
        </c:ser>
        <c:ser>
          <c:idx val="3"/>
          <c:order val="3"/>
          <c:tx>
            <c:strRef>
              <c:f>Überblick!$A$9</c:f>
              <c:strCache>
                <c:ptCount val="1"/>
                <c:pt idx="0">
                  <c:v>Temperatur Max. ø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Überblick!$C$9:$N$9</c:f>
              <c:numCache>
                <c:formatCode>0.00</c:formatCode>
                <c:ptCount val="12"/>
                <c:pt idx="0">
                  <c:v>0.28709677419354845</c:v>
                </c:pt>
                <c:pt idx="1">
                  <c:v>6.6</c:v>
                </c:pt>
                <c:pt idx="2">
                  <c:v>7.6741935483870982</c:v>
                </c:pt>
                <c:pt idx="3">
                  <c:v>10.729999999999997</c:v>
                </c:pt>
                <c:pt idx="4">
                  <c:v>12.890322580645158</c:v>
                </c:pt>
                <c:pt idx="5">
                  <c:v>22.02</c:v>
                </c:pt>
                <c:pt idx="6">
                  <c:v>20.822580645161292</c:v>
                </c:pt>
                <c:pt idx="7">
                  <c:v>19.677419354838712</c:v>
                </c:pt>
                <c:pt idx="8">
                  <c:v>19.060000000000006</c:v>
                </c:pt>
                <c:pt idx="9">
                  <c:v>12.43548387096774</c:v>
                </c:pt>
                <c:pt idx="10">
                  <c:v>5.0866666666666651</c:v>
                </c:pt>
                <c:pt idx="11">
                  <c:v>2.6129032258064515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1A-4437-9A5D-7C3BD07A5415}"/>
            </c:ext>
          </c:extLst>
        </c:ser>
        <c:ser>
          <c:idx val="4"/>
          <c:order val="4"/>
          <c:tx>
            <c:strRef>
              <c:f>Überblick!$A$10</c:f>
              <c:strCache>
                <c:ptCount val="1"/>
                <c:pt idx="0">
                  <c:v>Temperatur Min. ø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Überblick!$C$10:$N$10</c:f>
              <c:numCache>
                <c:formatCode>0.00</c:formatCode>
                <c:ptCount val="12"/>
                <c:pt idx="0">
                  <c:v>-3.8193548387096778</c:v>
                </c:pt>
                <c:pt idx="1">
                  <c:v>-1.7857142857142738E-2</c:v>
                </c:pt>
                <c:pt idx="2">
                  <c:v>-8.0645161290322634E-2</c:v>
                </c:pt>
                <c:pt idx="3">
                  <c:v>1.1533333333333333</c:v>
                </c:pt>
                <c:pt idx="4">
                  <c:v>4.4806451612903233</c:v>
                </c:pt>
                <c:pt idx="5">
                  <c:v>12.236666666666663</c:v>
                </c:pt>
                <c:pt idx="6">
                  <c:v>12.187096774193549</c:v>
                </c:pt>
                <c:pt idx="7">
                  <c:v>11.561290322580644</c:v>
                </c:pt>
                <c:pt idx="8">
                  <c:v>10.876666666666667</c:v>
                </c:pt>
                <c:pt idx="9">
                  <c:v>4.7612903225806438</c:v>
                </c:pt>
                <c:pt idx="10">
                  <c:v>5.6666666666666789E-2</c:v>
                </c:pt>
                <c:pt idx="11">
                  <c:v>-2.8516129032258068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1A-4437-9A5D-7C3BD07A5415}"/>
            </c:ext>
          </c:extLst>
        </c:ser>
        <c:ser>
          <c:idx val="6"/>
          <c:order val="5"/>
          <c:tx>
            <c:strRef>
              <c:f>Überblick!$A$11</c:f>
              <c:strCache>
                <c:ptCount val="1"/>
                <c:pt idx="0">
                  <c:v>Temperatur Mittel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Überblick!$C$11:$N$11</c:f>
              <c:numCache>
                <c:formatCode>0.00</c:formatCode>
                <c:ptCount val="12"/>
                <c:pt idx="0">
                  <c:v>-1.65</c:v>
                </c:pt>
                <c:pt idx="1">
                  <c:v>3.2714285714285714</c:v>
                </c:pt>
                <c:pt idx="2">
                  <c:v>3.54516129032258</c:v>
                </c:pt>
                <c:pt idx="3">
                  <c:v>5.5866666666666669</c:v>
                </c:pt>
                <c:pt idx="4">
                  <c:v>8.4225806451612897</c:v>
                </c:pt>
                <c:pt idx="5">
                  <c:v>16.58966666666667</c:v>
                </c:pt>
                <c:pt idx="6">
                  <c:v>15.941290322580643</c:v>
                </c:pt>
                <c:pt idx="7">
                  <c:v>15.029032258064516</c:v>
                </c:pt>
                <c:pt idx="8">
                  <c:v>14.626666666666669</c:v>
                </c:pt>
                <c:pt idx="9">
                  <c:v>8.1741935483870982</c:v>
                </c:pt>
                <c:pt idx="10">
                  <c:v>2.2699999999999991</c:v>
                </c:pt>
                <c:pt idx="11">
                  <c:v>-0.17935483870967722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1A-4437-9A5D-7C3BD07A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283295"/>
        <c:axId val="1"/>
      </c:lineChart>
      <c:catAx>
        <c:axId val="1871283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4.0314327485380125E-3"/>
              <c:y val="0.51515156250000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1283295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</a:t>
            </a:r>
          </a:p>
        </c:rich>
      </c:tx>
      <c:layout>
        <c:manualLayout>
          <c:xMode val="edge"/>
          <c:yMode val="edge"/>
          <c:x val="0.47708333333333336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8333333333334E-2"/>
          <c:y val="0.12289562289562289"/>
          <c:w val="0.88997441520467835"/>
          <c:h val="0.78174184027777793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Überblick!$A$17</c:f>
              <c:strCache>
                <c:ptCount val="1"/>
                <c:pt idx="0">
                  <c:v>Windböe Max.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Überblick!$C$16:$N$16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Überblick!$C$17:$N$17</c:f>
              <c:numCache>
                <c:formatCode>General</c:formatCode>
                <c:ptCount val="12"/>
                <c:pt idx="0">
                  <c:v>61</c:v>
                </c:pt>
                <c:pt idx="1">
                  <c:v>55</c:v>
                </c:pt>
                <c:pt idx="2">
                  <c:v>76</c:v>
                </c:pt>
                <c:pt idx="3">
                  <c:v>53</c:v>
                </c:pt>
                <c:pt idx="4">
                  <c:v>56</c:v>
                </c:pt>
                <c:pt idx="5">
                  <c:v>72</c:v>
                </c:pt>
                <c:pt idx="6">
                  <c:v>68</c:v>
                </c:pt>
                <c:pt idx="7">
                  <c:v>63</c:v>
                </c:pt>
                <c:pt idx="8">
                  <c:v>47</c:v>
                </c:pt>
                <c:pt idx="9">
                  <c:v>69</c:v>
                </c:pt>
                <c:pt idx="10">
                  <c:v>47</c:v>
                </c:pt>
                <c:pt idx="11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9-4787-B027-6222EADD624B}"/>
            </c:ext>
          </c:extLst>
        </c:ser>
        <c:ser>
          <c:idx val="1"/>
          <c:order val="1"/>
          <c:tx>
            <c:strRef>
              <c:f>Überblick!$A$18</c:f>
              <c:strCache>
                <c:ptCount val="1"/>
                <c:pt idx="0">
                  <c:v>Windböe minimales Max.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Überblick!$C$16:$N$16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Überblick!$C$18:$N$18</c:f>
              <c:numCache>
                <c:formatCode>General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19</c:v>
                </c:pt>
                <c:pt idx="4">
                  <c:v>19</c:v>
                </c:pt>
                <c:pt idx="5">
                  <c:v>16</c:v>
                </c:pt>
                <c:pt idx="6">
                  <c:v>14</c:v>
                </c:pt>
                <c:pt idx="7">
                  <c:v>13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9-4787-B027-6222EADD6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440959"/>
        <c:axId val="1"/>
      </c:lineChart>
      <c:catAx>
        <c:axId val="1870440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3.1798245614035115E-4"/>
              <c:y val="0.4994786458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0440959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UV-Index</a:t>
            </a:r>
          </a:p>
        </c:rich>
      </c:tx>
      <c:layout>
        <c:manualLayout>
          <c:xMode val="edge"/>
          <c:yMode val="edge"/>
          <c:x val="0.46041666666666664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83333333333331E-2"/>
          <c:y val="0.12289562289562289"/>
          <c:w val="0.91411915204678362"/>
          <c:h val="0.79497100694444445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Überblick!$A$33</c:f>
              <c:strCache>
                <c:ptCount val="1"/>
                <c:pt idx="0">
                  <c:v>UV-Index Max.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Überblick!$C$32:$N$32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Überblick!$C$33:$N$33</c:f>
              <c:numCache>
                <c:formatCode>General</c:formatCode>
                <c:ptCount val="12"/>
                <c:pt idx="0">
                  <c:v>1.3</c:v>
                </c:pt>
                <c:pt idx="1">
                  <c:v>2.7</c:v>
                </c:pt>
                <c:pt idx="2">
                  <c:v>4.2</c:v>
                </c:pt>
                <c:pt idx="3">
                  <c:v>5.6</c:v>
                </c:pt>
                <c:pt idx="4">
                  <c:v>7.8</c:v>
                </c:pt>
                <c:pt idx="5">
                  <c:v>9</c:v>
                </c:pt>
                <c:pt idx="6">
                  <c:v>8.8000000000000007</c:v>
                </c:pt>
                <c:pt idx="7">
                  <c:v>7.8</c:v>
                </c:pt>
                <c:pt idx="8">
                  <c:v>5.4</c:v>
                </c:pt>
                <c:pt idx="9">
                  <c:v>3.5</c:v>
                </c:pt>
                <c:pt idx="10">
                  <c:v>1.6</c:v>
                </c:pt>
                <c:pt idx="11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D-4EED-ADBE-A1D95E254C09}"/>
            </c:ext>
          </c:extLst>
        </c:ser>
        <c:ser>
          <c:idx val="3"/>
          <c:order val="1"/>
          <c:tx>
            <c:strRef>
              <c:f>Überblick!$A$34</c:f>
              <c:strCache>
                <c:ptCount val="1"/>
                <c:pt idx="0">
                  <c:v>UV-Index Mittel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Überblick!$C$32:$N$32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Überblick!$C$34:$N$34</c:f>
              <c:numCache>
                <c:formatCode>General</c:formatCode>
                <c:ptCount val="12"/>
                <c:pt idx="0">
                  <c:v>0.6</c:v>
                </c:pt>
                <c:pt idx="1">
                  <c:v>1.1000000000000001</c:v>
                </c:pt>
                <c:pt idx="2">
                  <c:v>1.5</c:v>
                </c:pt>
                <c:pt idx="3">
                  <c:v>2.1</c:v>
                </c:pt>
                <c:pt idx="4">
                  <c:v>2.2999999999999998</c:v>
                </c:pt>
                <c:pt idx="5">
                  <c:v>3.3</c:v>
                </c:pt>
                <c:pt idx="6">
                  <c:v>2.8</c:v>
                </c:pt>
                <c:pt idx="7">
                  <c:v>2.5</c:v>
                </c:pt>
                <c:pt idx="8">
                  <c:v>2.1</c:v>
                </c:pt>
                <c:pt idx="9">
                  <c:v>1.3</c:v>
                </c:pt>
                <c:pt idx="10">
                  <c:v>0.7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D-4EED-ADBE-A1D95E254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202239"/>
        <c:axId val="1"/>
      </c:lineChart>
      <c:catAx>
        <c:axId val="1939202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9202239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Temperaturtage</a:t>
            </a:r>
          </a:p>
        </c:rich>
      </c:tx>
      <c:layout>
        <c:manualLayout>
          <c:xMode val="edge"/>
          <c:yMode val="edge"/>
          <c:x val="0.43437500000000001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5833333333333E-2"/>
          <c:y val="0.12289562289562289"/>
          <c:w val="0.92317470760233922"/>
          <c:h val="0.72662031250000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Überblick!$A$40</c:f>
              <c:strCache>
                <c:ptCount val="1"/>
                <c:pt idx="0">
                  <c:v>sehr kalte T. (Tmin.&lt;= -10 °C)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Überblick!$C$39:$N$39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Überblick!$C$40:$N$40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4-4B4C-B827-74D89C4EEB3C}"/>
            </c:ext>
          </c:extLst>
        </c:ser>
        <c:ser>
          <c:idx val="1"/>
          <c:order val="1"/>
          <c:tx>
            <c:strRef>
              <c:f>Überblick!$A$41</c:f>
              <c:strCache>
                <c:ptCount val="1"/>
                <c:pt idx="0">
                  <c:v>Eistage (Tmax.&lt;= 0 °C)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Überblick!$C$39:$N$39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Überblick!$C$41:$N$41</c:f>
              <c:numCache>
                <c:formatCode>General</c:formatCode>
                <c:ptCount val="12"/>
                <c:pt idx="0">
                  <c:v>16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4-4B4C-B827-74D89C4EEB3C}"/>
            </c:ext>
          </c:extLst>
        </c:ser>
        <c:ser>
          <c:idx val="2"/>
          <c:order val="2"/>
          <c:tx>
            <c:strRef>
              <c:f>Überblick!$A$42</c:f>
              <c:strCache>
                <c:ptCount val="1"/>
                <c:pt idx="0">
                  <c:v>Frosttage (Tmin.&lt; 0 °C)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Überblick!$C$39:$N$39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Überblick!$C$42:$N$42</c:f>
              <c:numCache>
                <c:formatCode>General</c:formatCode>
                <c:ptCount val="12"/>
                <c:pt idx="0">
                  <c:v>25</c:v>
                </c:pt>
                <c:pt idx="1">
                  <c:v>10</c:v>
                </c:pt>
                <c:pt idx="2">
                  <c:v>18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F4-4B4C-B827-74D89C4EEB3C}"/>
            </c:ext>
          </c:extLst>
        </c:ser>
        <c:ser>
          <c:idx val="3"/>
          <c:order val="3"/>
          <c:tx>
            <c:strRef>
              <c:f>Überblick!$A$43</c:f>
              <c:strCache>
                <c:ptCount val="1"/>
                <c:pt idx="0">
                  <c:v>Kalte Tage (Tmax.&lt; 10 °C)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Überblick!$C$39:$N$39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Überblick!$C$43:$N$43</c:f>
              <c:numCache>
                <c:formatCode>General</c:formatCode>
                <c:ptCount val="12"/>
                <c:pt idx="0">
                  <c:v>31</c:v>
                </c:pt>
                <c:pt idx="1">
                  <c:v>20</c:v>
                </c:pt>
                <c:pt idx="2">
                  <c:v>20</c:v>
                </c:pt>
                <c:pt idx="3">
                  <c:v>11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27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F4-4B4C-B827-74D89C4EEB3C}"/>
            </c:ext>
          </c:extLst>
        </c:ser>
        <c:ser>
          <c:idx val="4"/>
          <c:order val="4"/>
          <c:tx>
            <c:strRef>
              <c:f>Überblick!$A$44</c:f>
              <c:strCache>
                <c:ptCount val="1"/>
                <c:pt idx="0">
                  <c:v>Warme T. (Tmax.&gt;= 20 °C)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Überblick!$C$39:$N$39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Überblick!$C$44:$N$44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19</c:v>
                </c:pt>
                <c:pt idx="6">
                  <c:v>21</c:v>
                </c:pt>
                <c:pt idx="7">
                  <c:v>10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F4-4B4C-B827-74D89C4EEB3C}"/>
            </c:ext>
          </c:extLst>
        </c:ser>
        <c:ser>
          <c:idx val="5"/>
          <c:order val="5"/>
          <c:tx>
            <c:strRef>
              <c:f>Überblick!$A$45</c:f>
              <c:strCache>
                <c:ptCount val="1"/>
                <c:pt idx="0">
                  <c:v>Sommert. (Tmax.&gt;= 25 °C)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Überblick!$C$39:$N$39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Überblick!$C$45:$N$45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F4-4B4C-B827-74D89C4EEB3C}"/>
            </c:ext>
          </c:extLst>
        </c:ser>
        <c:ser>
          <c:idx val="6"/>
          <c:order val="6"/>
          <c:tx>
            <c:strRef>
              <c:f>Überblick!$A$46</c:f>
              <c:strCache>
                <c:ptCount val="1"/>
                <c:pt idx="0">
                  <c:v>Hitzetage (Tmax.&gt;= 30 °C)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Überblick!$C$39:$N$39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Überblick!$C$46:$N$46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F4-4B4C-B827-74D89C4EEB3C}"/>
            </c:ext>
          </c:extLst>
        </c:ser>
        <c:ser>
          <c:idx val="7"/>
          <c:order val="7"/>
          <c:tx>
            <c:strRef>
              <c:f>Überblick!$A$47</c:f>
              <c:strCache>
                <c:ptCount val="1"/>
                <c:pt idx="0">
                  <c:v>Tropennächte (Tmin.&gt;= 20 °C)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Überblick!$C$39:$N$39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Überblick!$C$47:$N$47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8F4-4B4C-B827-74D89C4EE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196239"/>
        <c:axId val="1"/>
      </c:barChart>
      <c:catAx>
        <c:axId val="1939196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Anzahl Tage</a:t>
                </a:r>
              </a:p>
            </c:rich>
          </c:tx>
          <c:layout>
            <c:manualLayout>
              <c:xMode val="edge"/>
              <c:yMode val="edge"/>
              <c:x val="3.1798245614035115E-4"/>
              <c:y val="0.45959600694444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9196239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Niederschlagstage</a:t>
            </a:r>
          </a:p>
        </c:rich>
      </c:tx>
      <c:layout>
        <c:manualLayout>
          <c:xMode val="edge"/>
          <c:yMode val="edge"/>
          <c:x val="0.42291666666666666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5833333333333E-2"/>
          <c:y val="0.12289562289562289"/>
          <c:w val="0.92334839181286554"/>
          <c:h val="0.75307864583333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Überblick!$A$57</c:f>
              <c:strCache>
                <c:ptCount val="1"/>
                <c:pt idx="0">
                  <c:v>Tage Niederschlag &gt;= 1 mm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Überblick!$C$56:$N$56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Überblick!$C$57:$N$57</c:f>
              <c:numCache>
                <c:formatCode>General</c:formatCode>
                <c:ptCount val="12"/>
                <c:pt idx="0">
                  <c:v>13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19</c:v>
                </c:pt>
                <c:pt idx="5">
                  <c:v>18</c:v>
                </c:pt>
                <c:pt idx="6">
                  <c:v>21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11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6-496E-A867-3863F54A23C6}"/>
            </c:ext>
          </c:extLst>
        </c:ser>
        <c:ser>
          <c:idx val="1"/>
          <c:order val="1"/>
          <c:tx>
            <c:strRef>
              <c:f>Überblick!$A$58</c:f>
              <c:strCache>
                <c:ptCount val="1"/>
                <c:pt idx="0">
                  <c:v>Tage Niederschlag &gt;= 10 mm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Überblick!$C$56:$N$56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Überblick!$C$58:$N$58</c:f>
              <c:numCache>
                <c:formatCode>General</c:formatCode>
                <c:ptCount val="12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</c:v>
                </c:pt>
                <c:pt idx="5">
                  <c:v>9</c:v>
                </c:pt>
                <c:pt idx="6">
                  <c:v>12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36-496E-A867-3863F54A23C6}"/>
            </c:ext>
          </c:extLst>
        </c:ser>
        <c:ser>
          <c:idx val="2"/>
          <c:order val="2"/>
          <c:tx>
            <c:strRef>
              <c:f>Überblick!$A$59</c:f>
              <c:strCache>
                <c:ptCount val="1"/>
                <c:pt idx="0">
                  <c:v>Tage Niederschlag &gt;= 20 mm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Überblick!$C$56:$N$56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Überblick!$C$59:$N$59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36-496E-A867-3863F54A23C6}"/>
            </c:ext>
          </c:extLst>
        </c:ser>
        <c:ser>
          <c:idx val="3"/>
          <c:order val="3"/>
          <c:tx>
            <c:strRef>
              <c:f>Überblick!$A$60</c:f>
              <c:strCache>
                <c:ptCount val="1"/>
                <c:pt idx="0">
                  <c:v>Tage Niederschlag &gt;= 50 mm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Überblick!$C$56:$N$56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Überblick!$C$60:$N$60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36-496E-A867-3863F54A2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279295"/>
        <c:axId val="1"/>
      </c:barChart>
      <c:catAx>
        <c:axId val="1871279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Anzahl Tage</a:t>
                </a:r>
              </a:p>
            </c:rich>
          </c:tx>
          <c:layout>
            <c:manualLayout>
              <c:xMode val="edge"/>
              <c:yMode val="edge"/>
              <c:x val="3.1798245614035115E-4"/>
              <c:y val="0.45959600694444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127929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Rel. Luftfeuchtigkeit</a:t>
            </a:r>
          </a:p>
        </c:rich>
      </c:tx>
      <c:layout>
        <c:manualLayout>
          <c:xMode val="edge"/>
          <c:yMode val="edge"/>
          <c:x val="0.42083333333333334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8333333333334E-2"/>
          <c:y val="0.12289562289562289"/>
          <c:w val="0.88051535087719301"/>
          <c:h val="0.75087378472222222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Überblick!$A$13</c:f>
              <c:strCache>
                <c:ptCount val="1"/>
                <c:pt idx="0">
                  <c:v>Feuchte Max.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Überblick!$C$12:$N$12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Überblick!$C$13:$N$13</c:f>
              <c:numCache>
                <c:formatCode>General</c:formatCode>
                <c:ptCount val="12"/>
                <c:pt idx="0">
                  <c:v>99</c:v>
                </c:pt>
                <c:pt idx="1">
                  <c:v>98</c:v>
                </c:pt>
                <c:pt idx="2">
                  <c:v>98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D-4738-9EC1-94EB4EDC7E1A}"/>
            </c:ext>
          </c:extLst>
        </c:ser>
        <c:ser>
          <c:idx val="1"/>
          <c:order val="1"/>
          <c:tx>
            <c:strRef>
              <c:f>Überblick!$A$14</c:f>
              <c:strCache>
                <c:ptCount val="1"/>
                <c:pt idx="0">
                  <c:v>Feuchte Min.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Überblick!$C$12:$N$12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Überblick!$C$14:$N$14</c:f>
              <c:numCache>
                <c:formatCode>General</c:formatCode>
                <c:ptCount val="12"/>
                <c:pt idx="0">
                  <c:v>58</c:v>
                </c:pt>
                <c:pt idx="1">
                  <c:v>36</c:v>
                </c:pt>
                <c:pt idx="2">
                  <c:v>39</c:v>
                </c:pt>
                <c:pt idx="3">
                  <c:v>35</c:v>
                </c:pt>
                <c:pt idx="4">
                  <c:v>37</c:v>
                </c:pt>
                <c:pt idx="5">
                  <c:v>35</c:v>
                </c:pt>
                <c:pt idx="6">
                  <c:v>36</c:v>
                </c:pt>
                <c:pt idx="7">
                  <c:v>43</c:v>
                </c:pt>
                <c:pt idx="8">
                  <c:v>52</c:v>
                </c:pt>
                <c:pt idx="9">
                  <c:v>48</c:v>
                </c:pt>
                <c:pt idx="10">
                  <c:v>56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D-4738-9EC1-94EB4EDC7E1A}"/>
            </c:ext>
          </c:extLst>
        </c:ser>
        <c:ser>
          <c:idx val="4"/>
          <c:order val="2"/>
          <c:tx>
            <c:strRef>
              <c:f>Überblick!$A$15</c:f>
              <c:strCache>
                <c:ptCount val="1"/>
                <c:pt idx="0">
                  <c:v>Feuchte Mittel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Überblick!$C$12:$N$12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Überblick!$C$15:$N$15</c:f>
              <c:numCache>
                <c:formatCode>General</c:formatCode>
                <c:ptCount val="12"/>
                <c:pt idx="0">
                  <c:v>90</c:v>
                </c:pt>
                <c:pt idx="1">
                  <c:v>82</c:v>
                </c:pt>
                <c:pt idx="2">
                  <c:v>78</c:v>
                </c:pt>
                <c:pt idx="3">
                  <c:v>70</c:v>
                </c:pt>
                <c:pt idx="4">
                  <c:v>78</c:v>
                </c:pt>
                <c:pt idx="5">
                  <c:v>80</c:v>
                </c:pt>
                <c:pt idx="6">
                  <c:v>85</c:v>
                </c:pt>
                <c:pt idx="7">
                  <c:v>82</c:v>
                </c:pt>
                <c:pt idx="8">
                  <c:v>83</c:v>
                </c:pt>
                <c:pt idx="9">
                  <c:v>83</c:v>
                </c:pt>
                <c:pt idx="10">
                  <c:v>91</c:v>
                </c:pt>
                <c:pt idx="1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7D-4738-9EC1-94EB4EDC7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280095"/>
        <c:axId val="1"/>
      </c:lineChart>
      <c:catAx>
        <c:axId val="1871280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%</a:t>
                </a:r>
              </a:p>
            </c:rich>
          </c:tx>
          <c:layout>
            <c:manualLayout>
              <c:xMode val="edge"/>
              <c:yMode val="edge"/>
              <c:x val="3.1798245614035115E-4"/>
              <c:y val="0.518518576388888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1280095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97412280701754"/>
          <c:y val="0.93787326388888892"/>
          <c:w val="0.53176505847953226"/>
          <c:h val="3.56684027777777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Luftdruck</a:t>
            </a:r>
          </a:p>
        </c:rich>
      </c:tx>
      <c:layout>
        <c:manualLayout>
          <c:xMode val="edge"/>
          <c:yMode val="edge"/>
          <c:x val="0.45833333333333331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5833333333333E-2"/>
          <c:y val="0.12289562289562289"/>
          <c:w val="0.92569210526315793"/>
          <c:h val="0.78174184027777793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Überblick!$A$20</c:f>
              <c:strCache>
                <c:ptCount val="1"/>
                <c:pt idx="0">
                  <c:v>Luftdruck Max.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Überblick!$C$19:$N$19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Überblick!$C$20:$N$20</c:f>
              <c:numCache>
                <c:formatCode>General</c:formatCode>
                <c:ptCount val="12"/>
                <c:pt idx="0">
                  <c:v>1028.9000000000001</c:v>
                </c:pt>
                <c:pt idx="1">
                  <c:v>1039.4000000000001</c:v>
                </c:pt>
                <c:pt idx="2">
                  <c:v>1033.0999999999999</c:v>
                </c:pt>
                <c:pt idx="3">
                  <c:v>1028.8</c:v>
                </c:pt>
                <c:pt idx="4">
                  <c:v>1024.2</c:v>
                </c:pt>
                <c:pt idx="5">
                  <c:v>1021.6</c:v>
                </c:pt>
                <c:pt idx="6">
                  <c:v>1022.5</c:v>
                </c:pt>
                <c:pt idx="7">
                  <c:v>1021.1</c:v>
                </c:pt>
                <c:pt idx="8">
                  <c:v>1027.0999999999999</c:v>
                </c:pt>
                <c:pt idx="9">
                  <c:v>1027.0999999999999</c:v>
                </c:pt>
                <c:pt idx="10">
                  <c:v>1033</c:v>
                </c:pt>
                <c:pt idx="11">
                  <c:v>1038.2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4C-44C2-B58B-E1B0D84A4285}"/>
            </c:ext>
          </c:extLst>
        </c:ser>
        <c:ser>
          <c:idx val="1"/>
          <c:order val="1"/>
          <c:tx>
            <c:strRef>
              <c:f>Überblick!$A$21</c:f>
              <c:strCache>
                <c:ptCount val="1"/>
                <c:pt idx="0">
                  <c:v>Luftdruck Min.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Überblick!$C$19:$N$19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Überblick!$C$21:$N$21</c:f>
              <c:numCache>
                <c:formatCode>General</c:formatCode>
                <c:ptCount val="12"/>
                <c:pt idx="0">
                  <c:v>990.7</c:v>
                </c:pt>
                <c:pt idx="1">
                  <c:v>992.3</c:v>
                </c:pt>
                <c:pt idx="2">
                  <c:v>1006.8</c:v>
                </c:pt>
                <c:pt idx="3">
                  <c:v>1001.6</c:v>
                </c:pt>
                <c:pt idx="4">
                  <c:v>1002.9</c:v>
                </c:pt>
                <c:pt idx="5">
                  <c:v>1000.9</c:v>
                </c:pt>
                <c:pt idx="6">
                  <c:v>1005.1</c:v>
                </c:pt>
                <c:pt idx="7">
                  <c:v>1003.3</c:v>
                </c:pt>
                <c:pt idx="8">
                  <c:v>1009.1</c:v>
                </c:pt>
                <c:pt idx="9">
                  <c:v>1003.9</c:v>
                </c:pt>
                <c:pt idx="10">
                  <c:v>991.1</c:v>
                </c:pt>
                <c:pt idx="11">
                  <c:v>996.9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C-44C2-B58B-E1B0D84A4285}"/>
            </c:ext>
          </c:extLst>
        </c:ser>
        <c:ser>
          <c:idx val="4"/>
          <c:order val="2"/>
          <c:tx>
            <c:strRef>
              <c:f>Überblick!$A$22</c:f>
              <c:strCache>
                <c:ptCount val="1"/>
                <c:pt idx="0">
                  <c:v>Luftdruck Mittel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Überblick!$C$19:$N$19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Überblick!$C$22:$N$22</c:f>
              <c:numCache>
                <c:formatCode>General</c:formatCode>
                <c:ptCount val="12"/>
                <c:pt idx="0">
                  <c:v>1013.3</c:v>
                </c:pt>
                <c:pt idx="1">
                  <c:v>1018.1</c:v>
                </c:pt>
                <c:pt idx="2">
                  <c:v>1022.1</c:v>
                </c:pt>
                <c:pt idx="3">
                  <c:v>1016.6</c:v>
                </c:pt>
                <c:pt idx="4">
                  <c:v>1013.9</c:v>
                </c:pt>
                <c:pt idx="5">
                  <c:v>1015.1</c:v>
                </c:pt>
                <c:pt idx="6">
                  <c:v>1013.6</c:v>
                </c:pt>
                <c:pt idx="7">
                  <c:v>1015.1</c:v>
                </c:pt>
                <c:pt idx="8">
                  <c:v>1017.2</c:v>
                </c:pt>
                <c:pt idx="9">
                  <c:v>1019.3</c:v>
                </c:pt>
                <c:pt idx="10">
                  <c:v>1016.3</c:v>
                </c:pt>
                <c:pt idx="11">
                  <c:v>1017.8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C-44C2-B58B-E1B0D84A4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279695"/>
        <c:axId val="1"/>
      </c:lineChart>
      <c:catAx>
        <c:axId val="1871279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hPa</a:t>
                </a:r>
              </a:p>
            </c:rich>
          </c:tx>
          <c:layout>
            <c:manualLayout>
              <c:xMode val="edge"/>
              <c:yMode val="edge"/>
              <c:x val="3.1798245614035115E-4"/>
              <c:y val="0.50011944444444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127969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4687500000000002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5833333333333E-2"/>
          <c:y val="0.12289562289562289"/>
          <c:w val="0.92512426900584799"/>
          <c:h val="0.7883564236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Überblick!$A$36</c:f>
              <c:strCache>
                <c:ptCount val="1"/>
                <c:pt idx="0">
                  <c:v>Schneehöhe Tag ø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Überblick!$C$35:$N$35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Überblick!$C$36:$N$36</c:f>
              <c:numCache>
                <c:formatCode>0.00</c:formatCode>
                <c:ptCount val="12"/>
                <c:pt idx="0">
                  <c:v>13.193548387096774</c:v>
                </c:pt>
                <c:pt idx="1">
                  <c:v>1.3928571428571428</c:v>
                </c:pt>
                <c:pt idx="2">
                  <c:v>5.064516129032258</c:v>
                </c:pt>
                <c:pt idx="3">
                  <c:v>0.6333333333333333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</c:v>
                </c:pt>
                <c:pt idx="11">
                  <c:v>14.419354838709678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7-46F3-9B14-1293E5F576D3}"/>
            </c:ext>
          </c:extLst>
        </c:ser>
        <c:ser>
          <c:idx val="1"/>
          <c:order val="1"/>
          <c:tx>
            <c:strRef>
              <c:f>Überblick!$A$37</c:f>
              <c:strCache>
                <c:ptCount val="1"/>
                <c:pt idx="0">
                  <c:v>Schneehöhe Max.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Überblick!$C$35:$N$35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Überblick!$C$37:$N$37</c:f>
              <c:numCache>
                <c:formatCode>General</c:formatCode>
                <c:ptCount val="12"/>
                <c:pt idx="0">
                  <c:v>38</c:v>
                </c:pt>
                <c:pt idx="1">
                  <c:v>7</c:v>
                </c:pt>
                <c:pt idx="2">
                  <c:v>19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7-46F3-9B14-1293E5F576D3}"/>
            </c:ext>
          </c:extLst>
        </c:ser>
        <c:ser>
          <c:idx val="2"/>
          <c:order val="2"/>
          <c:tx>
            <c:strRef>
              <c:f>Überblick!$A$38</c:f>
              <c:strCache>
                <c:ptCount val="1"/>
                <c:pt idx="0">
                  <c:v>Neuschneesumme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Überblick!$C$35:$N$35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Überblick!$C$38:$N$38</c:f>
              <c:numCache>
                <c:formatCode>General</c:formatCode>
                <c:ptCount val="12"/>
                <c:pt idx="0">
                  <c:v>97</c:v>
                </c:pt>
                <c:pt idx="1">
                  <c:v>12</c:v>
                </c:pt>
                <c:pt idx="2">
                  <c:v>37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7-46F3-9B14-1293E5F5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280895"/>
        <c:axId val="1"/>
      </c:barChart>
      <c:catAx>
        <c:axId val="18712808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2.1747076023391817E-3"/>
              <c:y val="0.5095796875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1280895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4479166666666664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5833333333333E-2"/>
          <c:y val="0.12289562289562289"/>
          <c:w val="0.92322002923976609"/>
          <c:h val="0.7861515624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Überblick!$A$25</c:f>
              <c:strCache>
                <c:ptCount val="1"/>
                <c:pt idx="0">
                  <c:v>Niederschlag Monat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Überblick!$C$23:$N$23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Überblick!$C$25:$N$25</c:f>
              <c:numCache>
                <c:formatCode>General</c:formatCode>
                <c:ptCount val="12"/>
                <c:pt idx="0">
                  <c:v>168.8</c:v>
                </c:pt>
                <c:pt idx="1">
                  <c:v>42</c:v>
                </c:pt>
                <c:pt idx="2">
                  <c:v>79.8</c:v>
                </c:pt>
                <c:pt idx="3">
                  <c:v>71</c:v>
                </c:pt>
                <c:pt idx="4">
                  <c:v>194.8</c:v>
                </c:pt>
                <c:pt idx="5">
                  <c:v>241.59999999999997</c:v>
                </c:pt>
                <c:pt idx="6">
                  <c:v>335.19999999999993</c:v>
                </c:pt>
                <c:pt idx="7">
                  <c:v>111.80000000000003</c:v>
                </c:pt>
                <c:pt idx="8">
                  <c:v>73.600000000000009</c:v>
                </c:pt>
                <c:pt idx="9">
                  <c:v>34.400000000000013</c:v>
                </c:pt>
                <c:pt idx="10">
                  <c:v>48.600000000000016</c:v>
                </c:pt>
                <c:pt idx="11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D-4A63-A791-E88F1DBAEF01}"/>
            </c:ext>
          </c:extLst>
        </c:ser>
        <c:ser>
          <c:idx val="1"/>
          <c:order val="1"/>
          <c:tx>
            <c:strRef>
              <c:f>Überblick!$A$24</c:f>
              <c:strCache>
                <c:ptCount val="1"/>
                <c:pt idx="0">
                  <c:v>Niederschlag Tag Max.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Überblick!$C$23:$N$23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Überblick!$C$24:$N$24</c:f>
              <c:numCache>
                <c:formatCode>General</c:formatCode>
                <c:ptCount val="12"/>
                <c:pt idx="0">
                  <c:v>37</c:v>
                </c:pt>
                <c:pt idx="1">
                  <c:v>15.6</c:v>
                </c:pt>
                <c:pt idx="2">
                  <c:v>18</c:v>
                </c:pt>
                <c:pt idx="3">
                  <c:v>19.600000000000001</c:v>
                </c:pt>
                <c:pt idx="4">
                  <c:v>25</c:v>
                </c:pt>
                <c:pt idx="5">
                  <c:v>49.8</c:v>
                </c:pt>
                <c:pt idx="6">
                  <c:v>51.6</c:v>
                </c:pt>
                <c:pt idx="7">
                  <c:v>24.8</c:v>
                </c:pt>
                <c:pt idx="8">
                  <c:v>34.799999999999997</c:v>
                </c:pt>
                <c:pt idx="9">
                  <c:v>8.6</c:v>
                </c:pt>
                <c:pt idx="10">
                  <c:v>16</c:v>
                </c:pt>
                <c:pt idx="11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D-4A63-A791-E88F1DBAE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278895"/>
        <c:axId val="1"/>
      </c:barChart>
      <c:catAx>
        <c:axId val="18712788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3.1798245614035115E-4"/>
              <c:y val="0.50452916666666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127889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Windgeschwindigkeit</a:t>
            </a:r>
          </a:p>
        </c:rich>
      </c:tx>
      <c:layout>
        <c:manualLayout>
          <c:xMode val="edge"/>
          <c:yMode val="edge"/>
          <c:x val="0.4291670166229221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21221864951768488"/>
          <c:w val="0.93500076090556716"/>
          <c:h val="0.56591639871382637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(Feb!$F$10:$F$19,Feb!$F$21:$F$30,Feb!$F$32:$F$40)</c:f>
              <c:numCache>
                <c:formatCode>General</c:formatCode>
                <c:ptCount val="29"/>
                <c:pt idx="0">
                  <c:v>27</c:v>
                </c:pt>
                <c:pt idx="1">
                  <c:v>29</c:v>
                </c:pt>
                <c:pt idx="2">
                  <c:v>55</c:v>
                </c:pt>
                <c:pt idx="3">
                  <c:v>34</c:v>
                </c:pt>
                <c:pt idx="4">
                  <c:v>19</c:v>
                </c:pt>
                <c:pt idx="5">
                  <c:v>19</c:v>
                </c:pt>
                <c:pt idx="6">
                  <c:v>31</c:v>
                </c:pt>
                <c:pt idx="7">
                  <c:v>48</c:v>
                </c:pt>
                <c:pt idx="8">
                  <c:v>11</c:v>
                </c:pt>
                <c:pt idx="9">
                  <c:v>32</c:v>
                </c:pt>
                <c:pt idx="10">
                  <c:v>29</c:v>
                </c:pt>
                <c:pt idx="11">
                  <c:v>26</c:v>
                </c:pt>
                <c:pt idx="12">
                  <c:v>29</c:v>
                </c:pt>
                <c:pt idx="13">
                  <c:v>16</c:v>
                </c:pt>
                <c:pt idx="14">
                  <c:v>21</c:v>
                </c:pt>
                <c:pt idx="15">
                  <c:v>37</c:v>
                </c:pt>
                <c:pt idx="16">
                  <c:v>26</c:v>
                </c:pt>
                <c:pt idx="17">
                  <c:v>10</c:v>
                </c:pt>
                <c:pt idx="18">
                  <c:v>11</c:v>
                </c:pt>
                <c:pt idx="19">
                  <c:v>16</c:v>
                </c:pt>
                <c:pt idx="20">
                  <c:v>19</c:v>
                </c:pt>
                <c:pt idx="21">
                  <c:v>16</c:v>
                </c:pt>
                <c:pt idx="22">
                  <c:v>14</c:v>
                </c:pt>
                <c:pt idx="23">
                  <c:v>10</c:v>
                </c:pt>
                <c:pt idx="24">
                  <c:v>16</c:v>
                </c:pt>
                <c:pt idx="25">
                  <c:v>27</c:v>
                </c:pt>
                <c:pt idx="26">
                  <c:v>35</c:v>
                </c:pt>
                <c:pt idx="2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F-44CF-B0FC-5654E9F5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235183"/>
        <c:axId val="1"/>
      </c:lineChart>
      <c:catAx>
        <c:axId val="14022351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km/h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40514469453376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223518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849260734089321"/>
          <c:y val="0.90074837654439277"/>
          <c:w val="0.10217704197225977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Solar</a:t>
            </a:r>
          </a:p>
        </c:rich>
      </c:tx>
      <c:layout>
        <c:manualLayout>
          <c:xMode val="edge"/>
          <c:yMode val="edge"/>
          <c:x val="0.47604166666666664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8333333333334E-2"/>
          <c:y val="0.12289562289562289"/>
          <c:w val="0.88894005847953217"/>
          <c:h val="0.79276614583333338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Überblick!$A$30</c:f>
              <c:strCache>
                <c:ptCount val="1"/>
                <c:pt idx="0">
                  <c:v>Solar Max.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Überblick!$C$29:$N$29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Überblick!$C$30:$N$30</c:f>
              <c:numCache>
                <c:formatCode>General</c:formatCode>
                <c:ptCount val="12"/>
                <c:pt idx="0">
                  <c:v>605</c:v>
                </c:pt>
                <c:pt idx="1">
                  <c:v>733</c:v>
                </c:pt>
                <c:pt idx="2">
                  <c:v>1129</c:v>
                </c:pt>
                <c:pt idx="3">
                  <c:v>1167</c:v>
                </c:pt>
                <c:pt idx="4">
                  <c:v>1419</c:v>
                </c:pt>
                <c:pt idx="5">
                  <c:v>1345</c:v>
                </c:pt>
                <c:pt idx="6">
                  <c:v>1383</c:v>
                </c:pt>
                <c:pt idx="7">
                  <c:v>1290</c:v>
                </c:pt>
                <c:pt idx="8">
                  <c:v>991</c:v>
                </c:pt>
                <c:pt idx="9">
                  <c:v>947</c:v>
                </c:pt>
                <c:pt idx="10">
                  <c:v>666</c:v>
                </c:pt>
                <c:pt idx="11">
                  <c:v>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0-4BD1-817E-C8AE4AEE62FB}"/>
            </c:ext>
          </c:extLst>
        </c:ser>
        <c:ser>
          <c:idx val="3"/>
          <c:order val="1"/>
          <c:tx>
            <c:strRef>
              <c:f>Überblick!$A$31</c:f>
              <c:strCache>
                <c:ptCount val="1"/>
                <c:pt idx="0">
                  <c:v>Solar Mittel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Überblick!$C$29:$N$29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Überblick!$C$31:$N$31</c:f>
              <c:numCache>
                <c:formatCode>General</c:formatCode>
                <c:ptCount val="12"/>
                <c:pt idx="0">
                  <c:v>97</c:v>
                </c:pt>
                <c:pt idx="1">
                  <c:v>212</c:v>
                </c:pt>
                <c:pt idx="2">
                  <c:v>289</c:v>
                </c:pt>
                <c:pt idx="3">
                  <c:v>376</c:v>
                </c:pt>
                <c:pt idx="4">
                  <c:v>308</c:v>
                </c:pt>
                <c:pt idx="5">
                  <c:v>383</c:v>
                </c:pt>
                <c:pt idx="6">
                  <c:v>323</c:v>
                </c:pt>
                <c:pt idx="7">
                  <c:v>318</c:v>
                </c:pt>
                <c:pt idx="8">
                  <c:v>304</c:v>
                </c:pt>
                <c:pt idx="9">
                  <c:v>239</c:v>
                </c:pt>
                <c:pt idx="10">
                  <c:v>102</c:v>
                </c:pt>
                <c:pt idx="11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20-4BD1-817E-C8AE4AEE6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281295"/>
        <c:axId val="1"/>
      </c:lineChart>
      <c:catAx>
        <c:axId val="18712812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W/m2</a:t>
                </a:r>
              </a:p>
            </c:rich>
          </c:tx>
          <c:layout>
            <c:manualLayout>
              <c:xMode val="edge"/>
              <c:yMode val="edge"/>
              <c:x val="2.1747076023391817E-3"/>
              <c:y val="0.48989895833333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1281295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Sonnenscheindauer</a:t>
            </a:r>
          </a:p>
        </c:rich>
      </c:tx>
      <c:layout>
        <c:manualLayout>
          <c:xMode val="edge"/>
          <c:yMode val="edge"/>
          <c:x val="0.41666666666666669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083333333333336E-2"/>
          <c:y val="0.12289562289562289"/>
          <c:w val="0.93300073099415204"/>
          <c:h val="0.792766145833333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Überblick!$A$28</c:f>
              <c:strCache>
                <c:ptCount val="1"/>
                <c:pt idx="0">
                  <c:v>Sonnenscheindauer Monat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Überblick!$C$26:$N$26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Überblick!$C$28:$N$28</c:f>
              <c:numCache>
                <c:formatCode>0.00</c:formatCode>
                <c:ptCount val="12"/>
                <c:pt idx="0">
                  <c:v>37.75</c:v>
                </c:pt>
                <c:pt idx="1">
                  <c:v>86.5</c:v>
                </c:pt>
                <c:pt idx="2">
                  <c:v>153.94</c:v>
                </c:pt>
                <c:pt idx="3">
                  <c:v>209.78</c:v>
                </c:pt>
                <c:pt idx="4">
                  <c:v>157.33000000000001</c:v>
                </c:pt>
                <c:pt idx="5">
                  <c:v>221.17</c:v>
                </c:pt>
                <c:pt idx="6">
                  <c:v>178.92</c:v>
                </c:pt>
                <c:pt idx="7">
                  <c:v>171.45</c:v>
                </c:pt>
                <c:pt idx="8">
                  <c:v>182.38</c:v>
                </c:pt>
                <c:pt idx="9">
                  <c:v>146.55000000000001</c:v>
                </c:pt>
                <c:pt idx="10">
                  <c:v>47.4</c:v>
                </c:pt>
                <c:pt idx="11">
                  <c:v>30.87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5-4E2B-88EA-B3EE6577457E}"/>
            </c:ext>
          </c:extLst>
        </c:ser>
        <c:ser>
          <c:idx val="1"/>
          <c:order val="1"/>
          <c:tx>
            <c:strRef>
              <c:f>Überblick!$A$27</c:f>
              <c:strCache>
                <c:ptCount val="1"/>
                <c:pt idx="0">
                  <c:v>Sonnenscheindauer Max.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Überblick!$C$26:$N$26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Überblick!$C$27:$N$27</c:f>
              <c:numCache>
                <c:formatCode>0.00</c:formatCode>
                <c:ptCount val="12"/>
                <c:pt idx="0">
                  <c:v>4</c:v>
                </c:pt>
                <c:pt idx="1">
                  <c:v>7.98</c:v>
                </c:pt>
                <c:pt idx="2">
                  <c:v>9.93</c:v>
                </c:pt>
                <c:pt idx="3">
                  <c:v>11.82</c:v>
                </c:pt>
                <c:pt idx="4">
                  <c:v>12.6</c:v>
                </c:pt>
                <c:pt idx="5">
                  <c:v>12.7</c:v>
                </c:pt>
                <c:pt idx="6">
                  <c:v>12.55</c:v>
                </c:pt>
                <c:pt idx="7">
                  <c:v>11.43</c:v>
                </c:pt>
                <c:pt idx="8">
                  <c:v>9.82</c:v>
                </c:pt>
                <c:pt idx="9">
                  <c:v>8.2799999999999994</c:v>
                </c:pt>
                <c:pt idx="10">
                  <c:v>5.33</c:v>
                </c:pt>
                <c:pt idx="11">
                  <c:v>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5-4E2B-88EA-B3EE65774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281695"/>
        <c:axId val="1"/>
      </c:barChart>
      <c:catAx>
        <c:axId val="1871281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Stunden</a:t>
                </a:r>
              </a:p>
            </c:rich>
          </c:tx>
          <c:layout>
            <c:manualLayout>
              <c:xMode val="edge"/>
              <c:yMode val="edge"/>
              <c:x val="3.1798245614035115E-4"/>
              <c:y val="0.483164930555555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128169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Schneetage</a:t>
            </a:r>
          </a:p>
        </c:rich>
      </c:tx>
      <c:layout>
        <c:manualLayout>
          <c:xMode val="edge"/>
          <c:yMode val="edge"/>
          <c:x val="0.42916666666666664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5833333333333E-2"/>
          <c:y val="0.12289562289562289"/>
          <c:w val="0.92812499999999998"/>
          <c:h val="0.72342795138888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Überblick!$A$62</c:f>
              <c:strCache>
                <c:ptCount val="1"/>
                <c:pt idx="0">
                  <c:v>Tage Schnee &gt; 0 cm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Überblick!$C$61:$N$61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Überblick!$C$62:$N$62</c:f>
              <c:numCache>
                <c:formatCode>General</c:formatCode>
                <c:ptCount val="12"/>
                <c:pt idx="0">
                  <c:v>30</c:v>
                </c:pt>
                <c:pt idx="1">
                  <c:v>10</c:v>
                </c:pt>
                <c:pt idx="2">
                  <c:v>11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0-481B-82C3-073AFB79CB61}"/>
            </c:ext>
          </c:extLst>
        </c:ser>
        <c:ser>
          <c:idx val="1"/>
          <c:order val="1"/>
          <c:tx>
            <c:strRef>
              <c:f>Überblick!$A$63</c:f>
              <c:strCache>
                <c:ptCount val="1"/>
                <c:pt idx="0">
                  <c:v>Tage Schnee &gt;= 1 cm</c:v>
                </c:pt>
              </c:strCache>
            </c:strRef>
          </c:tx>
          <c:spPr>
            <a:pattFill prst="pct50">
              <a:fgClr>
                <a:srgbClr xmlns:mc="http://schemas.openxmlformats.org/markup-compatibility/2006" xmlns:a14="http://schemas.microsoft.com/office/drawing/2010/main" val="CCFFCC" mc:Ignorable="a14" a14:legacySpreadsheetColorIndex="4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Überblick!$C$61:$N$61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Überblick!$C$63:$N$63</c:f>
              <c:numCache>
                <c:formatCode>General</c:formatCode>
                <c:ptCount val="12"/>
                <c:pt idx="0">
                  <c:v>30</c:v>
                </c:pt>
                <c:pt idx="1">
                  <c:v>10</c:v>
                </c:pt>
                <c:pt idx="2">
                  <c:v>11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0-481B-82C3-073AFB79CB61}"/>
            </c:ext>
          </c:extLst>
        </c:ser>
        <c:ser>
          <c:idx val="2"/>
          <c:order val="2"/>
          <c:tx>
            <c:strRef>
              <c:f>Überblick!$A$64</c:f>
              <c:strCache>
                <c:ptCount val="1"/>
                <c:pt idx="0">
                  <c:v>Tage Schnee &gt;= 5 cm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Überblick!$C$61:$N$61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Überblick!$C$64:$N$64</c:f>
              <c:numCache>
                <c:formatCode>General</c:formatCode>
                <c:ptCount val="12"/>
                <c:pt idx="0">
                  <c:v>29</c:v>
                </c:pt>
                <c:pt idx="1">
                  <c:v>3</c:v>
                </c:pt>
                <c:pt idx="2">
                  <c:v>11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E0-481B-82C3-073AFB79CB61}"/>
            </c:ext>
          </c:extLst>
        </c:ser>
        <c:ser>
          <c:idx val="3"/>
          <c:order val="3"/>
          <c:tx>
            <c:strRef>
              <c:f>Überblick!$A$65</c:f>
              <c:strCache>
                <c:ptCount val="1"/>
                <c:pt idx="0">
                  <c:v>Tage Schnee &gt;= 10 cm</c:v>
                </c:pt>
              </c:strCache>
            </c:strRef>
          </c:tx>
          <c:spPr>
            <a:pattFill prst="pct50">
              <a:fgClr>
                <a:srgbClr xmlns:mc="http://schemas.openxmlformats.org/markup-compatibility/2006" xmlns:a14="http://schemas.microsoft.com/office/drawing/2010/main" val="CCFFFF" mc:Ignorable="a14" a14:legacySpreadsheetColorIndex="4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Überblick!$C$61:$N$61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Überblick!$C$65:$N$65</c:f>
              <c:numCache>
                <c:formatCode>General</c:formatCode>
                <c:ptCount val="12"/>
                <c:pt idx="0">
                  <c:v>17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E0-481B-82C3-073AFB79CB61}"/>
            </c:ext>
          </c:extLst>
        </c:ser>
        <c:ser>
          <c:idx val="4"/>
          <c:order val="4"/>
          <c:tx>
            <c:strRef>
              <c:f>Überblick!$A$66</c:f>
              <c:strCache>
                <c:ptCount val="1"/>
                <c:pt idx="0">
                  <c:v>Tage Schnee &gt;= 15 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Überblick!$C$61:$N$61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Überblick!$C$66:$N$66</c:f>
              <c:numCache>
                <c:formatCode>General</c:formatCode>
                <c:ptCount val="12"/>
                <c:pt idx="0">
                  <c:v>10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E0-481B-82C3-073AFB79CB61}"/>
            </c:ext>
          </c:extLst>
        </c:ser>
        <c:ser>
          <c:idx val="5"/>
          <c:order val="5"/>
          <c:tx>
            <c:strRef>
              <c:f>Überblick!$A$67</c:f>
              <c:strCache>
                <c:ptCount val="1"/>
                <c:pt idx="0">
                  <c:v>Tage Schnee &gt;= 20 cm</c:v>
                </c:pt>
              </c:strCache>
            </c:strRef>
          </c:tx>
          <c:spPr>
            <a:pattFill prst="pct50">
              <a:fgClr>
                <a:srgbClr xmlns:mc="http://schemas.openxmlformats.org/markup-compatibility/2006" xmlns:a14="http://schemas.microsoft.com/office/drawing/2010/main" val="00FFFF" mc:Ignorable="a14" a14:legacySpreadsheetColorIndex="1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Überblick!$C$61:$N$61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Überblick!$C$67:$N$67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E0-481B-82C3-073AFB79CB61}"/>
            </c:ext>
          </c:extLst>
        </c:ser>
        <c:ser>
          <c:idx val="6"/>
          <c:order val="6"/>
          <c:tx>
            <c:strRef>
              <c:f>Überblick!$A$68</c:f>
              <c:strCache>
                <c:ptCount val="1"/>
                <c:pt idx="0">
                  <c:v>Tage Schnee &gt;= 30 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Überblick!$C$61:$N$61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Überblick!$C$68:$N$68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E0-481B-82C3-073AFB79CB61}"/>
            </c:ext>
          </c:extLst>
        </c:ser>
        <c:ser>
          <c:idx val="7"/>
          <c:order val="7"/>
          <c:tx>
            <c:strRef>
              <c:f>Überblick!$A$69</c:f>
              <c:strCache>
                <c:ptCount val="1"/>
                <c:pt idx="0">
                  <c:v>Tage Schnee &gt;= 40 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Überblick!$C$61:$N$61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Überblick!$C$69:$N$69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E0-481B-82C3-073AFB79CB61}"/>
            </c:ext>
          </c:extLst>
        </c:ser>
        <c:ser>
          <c:idx val="8"/>
          <c:order val="8"/>
          <c:tx>
            <c:strRef>
              <c:f>Überblick!$A$70</c:f>
              <c:strCache>
                <c:ptCount val="1"/>
                <c:pt idx="0">
                  <c:v>Tage Schnee &gt;= 50 cm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Überblick!$C$61:$N$61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Überblick!$C$70:$N$70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E0-481B-82C3-073AFB79CB61}"/>
            </c:ext>
          </c:extLst>
        </c:ser>
        <c:ser>
          <c:idx val="9"/>
          <c:order val="9"/>
          <c:tx>
            <c:strRef>
              <c:f>Überblick!$A$71</c:f>
              <c:strCache>
                <c:ptCount val="1"/>
                <c:pt idx="0">
                  <c:v>Tage Schnee &gt;= 75 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Überblick!$C$61:$N$61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Überblick!$C$71:$N$71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E0-481B-82C3-073AFB79CB61}"/>
            </c:ext>
          </c:extLst>
        </c:ser>
        <c:ser>
          <c:idx val="10"/>
          <c:order val="10"/>
          <c:tx>
            <c:strRef>
              <c:f>Überblick!$A$72</c:f>
              <c:strCache>
                <c:ptCount val="1"/>
                <c:pt idx="0">
                  <c:v>Tage Schnee &gt;= 100 cm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Überblick!$C$61:$N$61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Überblick!$C$72:$N$72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E0-481B-82C3-073AFB79C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280495"/>
        <c:axId val="1"/>
      </c:barChart>
      <c:catAx>
        <c:axId val="1871280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Anzahl Tage</a:t>
                </a:r>
              </a:p>
            </c:rich>
          </c:tx>
          <c:layout>
            <c:manualLayout>
              <c:xMode val="edge"/>
              <c:yMode val="edge"/>
              <c:x val="3.1798245614035066E-4"/>
              <c:y val="0.400673437500000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128049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38090824837814"/>
          <c:y val="0.88530734632683672"/>
          <c:w val="0.67006487488415212"/>
          <c:h val="0.11094452773613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Windtage</a:t>
            </a:r>
          </a:p>
        </c:rich>
      </c:tx>
      <c:layout>
        <c:manualLayout>
          <c:xMode val="edge"/>
          <c:yMode val="edge"/>
          <c:x val="0.45937499999999998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5833333333333E-2"/>
          <c:y val="0.12289562289562289"/>
          <c:w val="0.92334839181286554"/>
          <c:h val="0.72662031250000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Überblick!$A$49</c:f>
              <c:strCache>
                <c:ptCount val="1"/>
                <c:pt idx="0">
                  <c:v>T. Windböe Max. &gt;7 Beaufort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Überblick!$C$48:$N$48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Überblick!$C$49:$N$49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A-4CA8-93C5-255DA96E363C}"/>
            </c:ext>
          </c:extLst>
        </c:ser>
        <c:ser>
          <c:idx val="1"/>
          <c:order val="1"/>
          <c:tx>
            <c:strRef>
              <c:f>Überblick!$A$50</c:f>
              <c:strCache>
                <c:ptCount val="1"/>
                <c:pt idx="0">
                  <c:v>T. Windböe Max. 7 Beaufort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Überblick!$C$48:$N$48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Überblick!$C$50:$N$50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A-4CA8-93C5-255DA96E363C}"/>
            </c:ext>
          </c:extLst>
        </c:ser>
        <c:ser>
          <c:idx val="2"/>
          <c:order val="2"/>
          <c:tx>
            <c:strRef>
              <c:f>Überblick!$A$51</c:f>
              <c:strCache>
                <c:ptCount val="1"/>
                <c:pt idx="0">
                  <c:v>T. Windböe Max. 6 Beaufort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Überblick!$C$48:$N$48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Überblick!$C$51:$N$51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8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0A-4CA8-93C5-255DA96E363C}"/>
            </c:ext>
          </c:extLst>
        </c:ser>
        <c:ser>
          <c:idx val="3"/>
          <c:order val="3"/>
          <c:tx>
            <c:strRef>
              <c:f>Überblick!$A$52</c:f>
              <c:strCache>
                <c:ptCount val="1"/>
                <c:pt idx="0">
                  <c:v>T. Windböe Max. 5 Beaufort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Überblick!$C$48:$N$48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Überblick!$C$52:$N$52</c:f>
              <c:numCache>
                <c:formatCode>General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12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0A-4CA8-93C5-255DA96E363C}"/>
            </c:ext>
          </c:extLst>
        </c:ser>
        <c:ser>
          <c:idx val="4"/>
          <c:order val="4"/>
          <c:tx>
            <c:strRef>
              <c:f>Überblick!$A$53</c:f>
              <c:strCache>
                <c:ptCount val="1"/>
                <c:pt idx="0">
                  <c:v>T. Windböe Max. 4 Beaufort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Überblick!$C$48:$N$48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Überblick!$C$53:$N$53</c:f>
              <c:numCache>
                <c:formatCode>General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12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  <c:pt idx="9">
                  <c:v>8</c:v>
                </c:pt>
                <c:pt idx="10">
                  <c:v>11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0A-4CA8-93C5-255DA96E363C}"/>
            </c:ext>
          </c:extLst>
        </c:ser>
        <c:ser>
          <c:idx val="5"/>
          <c:order val="5"/>
          <c:tx>
            <c:strRef>
              <c:f>Überblick!$A$54</c:f>
              <c:strCache>
                <c:ptCount val="1"/>
                <c:pt idx="0">
                  <c:v>T. Windböe Max. 3 Beaufort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Überblick!$C$48:$N$48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Überblick!$C$54:$N$54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10</c:v>
                </c:pt>
                <c:pt idx="9">
                  <c:v>14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0A-4CA8-93C5-255DA96E363C}"/>
            </c:ext>
          </c:extLst>
        </c:ser>
        <c:ser>
          <c:idx val="6"/>
          <c:order val="6"/>
          <c:tx>
            <c:strRef>
              <c:f>Überblick!$A$55</c:f>
              <c:strCache>
                <c:ptCount val="1"/>
                <c:pt idx="0">
                  <c:v>T. Windböe Max. &lt;3 Beaufort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Überblick!$C$48:$N$48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Überblick!$C$55:$N$55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9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0A-4CA8-93C5-255DA96E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957407"/>
        <c:axId val="1"/>
      </c:barChart>
      <c:catAx>
        <c:axId val="187195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Anzahl Tage</a:t>
                </a:r>
              </a:p>
            </c:rich>
          </c:tx>
          <c:layout>
            <c:manualLayout>
              <c:xMode val="edge"/>
              <c:yMode val="edge"/>
              <c:x val="3.1798245614035115E-4"/>
              <c:y val="0.46180086805555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7195740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rel. Luftfeuchtigkeit Abweichungen</a:t>
            </a:r>
          </a:p>
        </c:rich>
      </c:tx>
      <c:layout>
        <c:manualLayout>
          <c:xMode val="edge"/>
          <c:yMode val="edge"/>
          <c:x val="0.359375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8333333333334E-2"/>
          <c:y val="0.12289562289562289"/>
          <c:w val="0.91230833333333339"/>
          <c:h val="0.78174184027777793"/>
        </c:manualLayout>
      </c:layout>
      <c:lineChart>
        <c:grouping val="standard"/>
        <c:varyColors val="0"/>
        <c:ser>
          <c:idx val="0"/>
          <c:order val="0"/>
          <c:tx>
            <c:strRef>
              <c:f>Abweichungen!$A$10</c:f>
              <c:strCache>
                <c:ptCount val="1"/>
                <c:pt idx="0">
                  <c:v>Luftfeuchigkeit Mittel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Abweichungen!$C$9:$O$9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Abweichungen!$C$10:$O$10</c:f>
              <c:numCache>
                <c:formatCode>General</c:formatCode>
                <c:ptCount val="13"/>
                <c:pt idx="0">
                  <c:v>5.2</c:v>
                </c:pt>
                <c:pt idx="1">
                  <c:v>2.2999999999999998</c:v>
                </c:pt>
                <c:pt idx="2">
                  <c:v>1.7</c:v>
                </c:pt>
                <c:pt idx="3">
                  <c:v>-1.6</c:v>
                </c:pt>
                <c:pt idx="4">
                  <c:v>6.3</c:v>
                </c:pt>
                <c:pt idx="5">
                  <c:v>8.3000000000000007</c:v>
                </c:pt>
                <c:pt idx="6">
                  <c:v>13.8</c:v>
                </c:pt>
                <c:pt idx="7">
                  <c:v>6.3</c:v>
                </c:pt>
                <c:pt idx="8">
                  <c:v>2.4</c:v>
                </c:pt>
                <c:pt idx="9">
                  <c:v>-2.1</c:v>
                </c:pt>
                <c:pt idx="10">
                  <c:v>4.9000000000000004</c:v>
                </c:pt>
                <c:pt idx="11">
                  <c:v>5.8</c:v>
                </c:pt>
                <c:pt idx="12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9-49A9-B406-20D0DAC92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207439"/>
        <c:axId val="1"/>
      </c:lineChart>
      <c:catAx>
        <c:axId val="1939207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%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51851851851851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9207439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 und Sonnenscheindauer Abweichungen</a:t>
            </a:r>
          </a:p>
        </c:rich>
      </c:tx>
      <c:layout>
        <c:manualLayout>
          <c:xMode val="edge"/>
          <c:yMode val="edge"/>
          <c:x val="0.28645832365956542"/>
          <c:y val="2.020207909214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5833333333333E-2"/>
          <c:y val="0.12289562289562289"/>
          <c:w val="0.88561677777777781"/>
          <c:h val="0.780786458333333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Abweichungen!$A$12</c:f>
              <c:strCache>
                <c:ptCount val="1"/>
                <c:pt idx="0">
                  <c:v>Niederschlag Monat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Abweichungen!$C$11:$O$11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Abweichungen!$C$12:$O$12</c:f>
              <c:numCache>
                <c:formatCode>General</c:formatCode>
                <c:ptCount val="13"/>
                <c:pt idx="0">
                  <c:v>97.8</c:v>
                </c:pt>
                <c:pt idx="1">
                  <c:v>-27</c:v>
                </c:pt>
                <c:pt idx="2">
                  <c:v>3.8</c:v>
                </c:pt>
                <c:pt idx="3">
                  <c:v>-23</c:v>
                </c:pt>
                <c:pt idx="4">
                  <c:v>48.8</c:v>
                </c:pt>
                <c:pt idx="5">
                  <c:v>91.6</c:v>
                </c:pt>
                <c:pt idx="6">
                  <c:v>173.2</c:v>
                </c:pt>
                <c:pt idx="7">
                  <c:v>-31.2</c:v>
                </c:pt>
                <c:pt idx="8">
                  <c:v>-32.4</c:v>
                </c:pt>
                <c:pt idx="9">
                  <c:v>-61.6</c:v>
                </c:pt>
                <c:pt idx="10">
                  <c:v>-36.4</c:v>
                </c:pt>
                <c:pt idx="11">
                  <c:v>6.2</c:v>
                </c:pt>
                <c:pt idx="12">
                  <c:v>210.8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3-46FC-AA24-78630E73D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204239"/>
        <c:axId val="1"/>
      </c:barChart>
      <c:lineChart>
        <c:grouping val="standard"/>
        <c:varyColors val="0"/>
        <c:ser>
          <c:idx val="0"/>
          <c:order val="1"/>
          <c:tx>
            <c:strRef>
              <c:f>Abweichungen!$A$14</c:f>
              <c:strCache>
                <c:ptCount val="1"/>
                <c:pt idx="0">
                  <c:v>Sonnenscheindauer Monat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Abweichungen!$C$11:$O$11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Abweichungen!$C$14:$O$14</c:f>
              <c:numCache>
                <c:formatCode>General</c:formatCode>
                <c:ptCount val="13"/>
                <c:pt idx="0">
                  <c:v>-28.25</c:v>
                </c:pt>
                <c:pt idx="1">
                  <c:v>-7.5</c:v>
                </c:pt>
                <c:pt idx="2">
                  <c:v>2.94</c:v>
                </c:pt>
                <c:pt idx="3">
                  <c:v>30.78</c:v>
                </c:pt>
                <c:pt idx="4">
                  <c:v>-39.67</c:v>
                </c:pt>
                <c:pt idx="5">
                  <c:v>-1.87</c:v>
                </c:pt>
                <c:pt idx="6">
                  <c:v>-66.08</c:v>
                </c:pt>
                <c:pt idx="7">
                  <c:v>-56.55</c:v>
                </c:pt>
                <c:pt idx="8">
                  <c:v>7.38</c:v>
                </c:pt>
                <c:pt idx="9">
                  <c:v>27.55</c:v>
                </c:pt>
                <c:pt idx="10">
                  <c:v>-18.600000000000001</c:v>
                </c:pt>
                <c:pt idx="11">
                  <c:v>-22.13</c:v>
                </c:pt>
                <c:pt idx="12">
                  <c:v>-173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3-46FC-AA24-78630E73D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3920423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1.1458293613980222E-2"/>
              <c:y val="0.436026867321795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920423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Temperatur Abweichungen</a:t>
            </a:r>
          </a:p>
        </c:rich>
      </c:tx>
      <c:layout>
        <c:manualLayout>
          <c:xMode val="edge"/>
          <c:yMode val="edge"/>
          <c:x val="0.38958333333333334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8333333333334E-2"/>
          <c:y val="0.12289562289562289"/>
          <c:w val="0.91159999999999985"/>
          <c:h val="0.77292239583333333"/>
        </c:manualLayout>
      </c:layout>
      <c:lineChart>
        <c:grouping val="standard"/>
        <c:varyColors val="0"/>
        <c:ser>
          <c:idx val="0"/>
          <c:order val="0"/>
          <c:tx>
            <c:strRef>
              <c:f>Abweichungen!$A$6</c:f>
              <c:strCache>
                <c:ptCount val="1"/>
                <c:pt idx="0">
                  <c:v>Temperatur Maximum Ø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Abweichungen!$C$5:$O$5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Abweichungen!$C$6:$O$6</c:f>
              <c:numCache>
                <c:formatCode>General</c:formatCode>
                <c:ptCount val="13"/>
                <c:pt idx="0">
                  <c:v>-1.71</c:v>
                </c:pt>
                <c:pt idx="1">
                  <c:v>2</c:v>
                </c:pt>
                <c:pt idx="2">
                  <c:v>-1.33</c:v>
                </c:pt>
                <c:pt idx="3">
                  <c:v>-2.17</c:v>
                </c:pt>
                <c:pt idx="4">
                  <c:v>-4.3099999999999996</c:v>
                </c:pt>
                <c:pt idx="5">
                  <c:v>1.02</c:v>
                </c:pt>
                <c:pt idx="6">
                  <c:v>-2.1800000000000002</c:v>
                </c:pt>
                <c:pt idx="7">
                  <c:v>-2.92</c:v>
                </c:pt>
                <c:pt idx="8">
                  <c:v>0.86</c:v>
                </c:pt>
                <c:pt idx="9">
                  <c:v>-1.06</c:v>
                </c:pt>
                <c:pt idx="10">
                  <c:v>-2.11</c:v>
                </c:pt>
                <c:pt idx="11">
                  <c:v>-0.89</c:v>
                </c:pt>
                <c:pt idx="12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83-4C9A-88A3-A74E52FBC014}"/>
            </c:ext>
          </c:extLst>
        </c:ser>
        <c:ser>
          <c:idx val="1"/>
          <c:order val="1"/>
          <c:tx>
            <c:strRef>
              <c:f>Abweichungen!$A$7</c:f>
              <c:strCache>
                <c:ptCount val="1"/>
                <c:pt idx="0">
                  <c:v>Temperatur Minimum Ø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Abweichungen!$C$5:$O$5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Abweichungen!$C$7:$O$7</c:f>
              <c:numCache>
                <c:formatCode>General</c:formatCode>
                <c:ptCount val="13"/>
                <c:pt idx="0">
                  <c:v>0.08</c:v>
                </c:pt>
                <c:pt idx="1">
                  <c:v>3.82</c:v>
                </c:pt>
                <c:pt idx="2">
                  <c:v>0.52</c:v>
                </c:pt>
                <c:pt idx="3">
                  <c:v>-1.1499999999999999</c:v>
                </c:pt>
                <c:pt idx="4">
                  <c:v>-1.92</c:v>
                </c:pt>
                <c:pt idx="5">
                  <c:v>2.2400000000000002</c:v>
                </c:pt>
                <c:pt idx="6">
                  <c:v>0.49</c:v>
                </c:pt>
                <c:pt idx="7">
                  <c:v>-0.04</c:v>
                </c:pt>
                <c:pt idx="8">
                  <c:v>2.68</c:v>
                </c:pt>
                <c:pt idx="9">
                  <c:v>-0.04</c:v>
                </c:pt>
                <c:pt idx="10">
                  <c:v>-0.04</c:v>
                </c:pt>
                <c:pt idx="11">
                  <c:v>0.15</c:v>
                </c:pt>
                <c:pt idx="1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3-4C9A-88A3-A74E52FBC014}"/>
            </c:ext>
          </c:extLst>
        </c:ser>
        <c:ser>
          <c:idx val="2"/>
          <c:order val="2"/>
          <c:tx>
            <c:strRef>
              <c:f>Abweichungen!$A$8</c:f>
              <c:strCache>
                <c:ptCount val="1"/>
                <c:pt idx="0">
                  <c:v>Temperatur Mittel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Abweichungen!$C$5:$O$5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Abweichungen!$C$8:$O$8</c:f>
              <c:numCache>
                <c:formatCode>General</c:formatCode>
                <c:ptCount val="13"/>
                <c:pt idx="0">
                  <c:v>-1.05</c:v>
                </c:pt>
                <c:pt idx="1">
                  <c:v>3.17</c:v>
                </c:pt>
                <c:pt idx="2">
                  <c:v>-0.45</c:v>
                </c:pt>
                <c:pt idx="3">
                  <c:v>-2.11</c:v>
                </c:pt>
                <c:pt idx="4">
                  <c:v>-3.28</c:v>
                </c:pt>
                <c:pt idx="5">
                  <c:v>1.19</c:v>
                </c:pt>
                <c:pt idx="6">
                  <c:v>-1.1599999999999999</c:v>
                </c:pt>
                <c:pt idx="7">
                  <c:v>-1.77</c:v>
                </c:pt>
                <c:pt idx="8">
                  <c:v>1.73</c:v>
                </c:pt>
                <c:pt idx="9">
                  <c:v>-0.53</c:v>
                </c:pt>
                <c:pt idx="10">
                  <c:v>-1.1299999999999999</c:v>
                </c:pt>
                <c:pt idx="11">
                  <c:v>-0.38</c:v>
                </c:pt>
                <c:pt idx="12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83-4C9A-88A3-A74E52FBC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199839"/>
        <c:axId val="1"/>
      </c:lineChart>
      <c:catAx>
        <c:axId val="1939199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515151515151515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9199839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Niederschlag</a:t>
            </a:r>
          </a:p>
        </c:rich>
      </c:tx>
      <c:layout>
        <c:manualLayout>
          <c:xMode val="edge"/>
          <c:yMode val="edge"/>
          <c:x val="0.41424016172735689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03419554352"/>
          <c:y val="0.21221864951768488"/>
          <c:w val="0.87378778852489847"/>
          <c:h val="0.56591639871382637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(Feb!$G$10:$G$19,Feb!$G$21:$G$30,Feb!$G$32:$G$40)</c:f>
              <c:numCache>
                <c:formatCode>General</c:formatCode>
                <c:ptCount val="29"/>
                <c:pt idx="0">
                  <c:v>15.6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8.1999999999999993</c:v>
                </c:pt>
                <c:pt idx="7">
                  <c:v>0</c:v>
                </c:pt>
                <c:pt idx="8">
                  <c:v>3.2</c:v>
                </c:pt>
                <c:pt idx="9">
                  <c:v>5.8</c:v>
                </c:pt>
                <c:pt idx="10">
                  <c:v>1.6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</c:v>
                </c:pt>
                <c:pt idx="16">
                  <c:v>2.4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1-40AC-9559-A914C1285889}"/>
            </c:ext>
          </c:extLst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(Feb!$H$10:$H$19,Feb!$H$21:$H$30,Feb!$H$32:$H$40)</c:f>
              <c:numCache>
                <c:formatCode>General</c:formatCode>
                <c:ptCount val="29"/>
                <c:pt idx="0">
                  <c:v>15.6</c:v>
                </c:pt>
                <c:pt idx="1">
                  <c:v>16.600000000000001</c:v>
                </c:pt>
                <c:pt idx="2">
                  <c:v>20.6</c:v>
                </c:pt>
                <c:pt idx="3">
                  <c:v>20.6</c:v>
                </c:pt>
                <c:pt idx="4">
                  <c:v>20.6</c:v>
                </c:pt>
                <c:pt idx="5">
                  <c:v>20.6</c:v>
                </c:pt>
                <c:pt idx="6">
                  <c:v>28.8</c:v>
                </c:pt>
                <c:pt idx="7">
                  <c:v>28.8</c:v>
                </c:pt>
                <c:pt idx="8">
                  <c:v>32</c:v>
                </c:pt>
                <c:pt idx="9">
                  <c:v>37.799999999999997</c:v>
                </c:pt>
                <c:pt idx="10">
                  <c:v>39.4</c:v>
                </c:pt>
                <c:pt idx="11">
                  <c:v>39.4</c:v>
                </c:pt>
                <c:pt idx="12">
                  <c:v>39.4</c:v>
                </c:pt>
                <c:pt idx="13">
                  <c:v>39.4</c:v>
                </c:pt>
                <c:pt idx="14">
                  <c:v>39.4</c:v>
                </c:pt>
                <c:pt idx="15">
                  <c:v>39.6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42</c:v>
                </c:pt>
                <c:pt idx="26">
                  <c:v>42</c:v>
                </c:pt>
                <c:pt idx="27">
                  <c:v>42</c:v>
                </c:pt>
                <c:pt idx="2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1-40AC-9559-A914C1285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238783"/>
        <c:axId val="1"/>
      </c:barChart>
      <c:catAx>
        <c:axId val="14022387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mm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5016077170418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223878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850494476966914"/>
          <c:y val="0.90074837654439277"/>
          <c:w val="0.40325017329110274"/>
          <c:h val="7.48225488503329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Schneehöhe</a:t>
            </a:r>
          </a:p>
        </c:rich>
      </c:tx>
      <c:layout>
        <c:manualLayout>
          <c:xMode val="edge"/>
          <c:yMode val="edge"/>
          <c:x val="0.45750034995625544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337673614643E-2"/>
          <c:y val="0.19705910653019665"/>
          <c:w val="0.93500076090556716"/>
          <c:h val="0.60000086167403155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(Feb!$J$10:$J$19,Feb!$J$21:$J$30,Feb!$J$32:$J$40)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C-42ED-8A50-BB5D96AB33BE}"/>
            </c:ext>
          </c:extLst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(Feb!$K$10:$K$19,Feb!$K$21:$K$30,Feb!$K$32:$K$40)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C-42ED-8A50-BB5D96AB3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239583"/>
        <c:axId val="1"/>
      </c:barChart>
      <c:catAx>
        <c:axId val="1402239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cm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6470649992280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2239583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69379718582938"/>
          <c:y val="0.90924035521538238"/>
          <c:w val="0.2141369922184593"/>
          <c:h val="6.84232973534006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chart" Target="../charts/chart73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EC48C77-8F0C-4E84-A9D0-B6A294590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505A29F3-3F94-4EB9-83D7-48FEABDE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053D669E-D5EF-4F76-AECF-FEA347A311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43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8A2A367D-2733-49F4-837D-8EF23B63D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B47F54B0-D117-4D5E-9F02-0F4979DD5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B095858-A106-4121-8943-777DAD08B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FC3EFED6-9817-4193-AF80-E712AF873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A133A47B-95C4-4D96-BD4D-C58832C58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43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4BB81C77-594A-4AC7-A167-B0F373588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9E062D52-41C2-47B0-B261-F8B6905CA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65CDD12-08DD-4D19-9DC8-3C9E6978A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420B8CFE-EC0C-462B-AE6F-3BE708EDA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08EF230C-3B95-4E0C-AB79-A2995281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42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408FDDDA-53E8-4598-8D1A-CF496E4F9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F20734F2-A140-4509-995E-88B97A3BE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57F246A-32D3-46A3-9630-8C630BC03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B6E8D0EC-179A-410B-9EEF-7D7945450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B69BBD87-4443-4312-8689-930F1086C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43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FA25D965-F7ED-4048-9725-592B82AC7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82BC3D6E-085C-43DF-A2A4-9376BE325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13644033"/>
    <xdr:ext cx="6840000" cy="576000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DF2ADA-0FEC-4E41-A71E-7AFF81BAE7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9447933"/>
    <xdr:ext cx="6840000" cy="5760000"/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EF7F3E5-2132-4F1C-9133-CAA246EEA7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0" y="36821533"/>
    <xdr:ext cx="6840000" cy="5760000"/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2513C0C5-0BB3-4B58-B8A0-282CCDCA39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0" y="42612733"/>
    <xdr:ext cx="6840000" cy="5760000"/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ABAC8C8B-F41E-456B-B4C8-E2FDC72E31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0" y="48382767"/>
    <xdr:ext cx="6840000" cy="5760000"/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2467B6C7-5704-4887-9874-28CBC38FE3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7031567" y="13656733"/>
    <xdr:ext cx="6840000" cy="5760000"/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496EDBFA-87BA-41BE-B1E1-4975E2D17E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absoluteAnchor>
    <xdr:pos x="7031567" y="19447933"/>
    <xdr:ext cx="6840000" cy="5760000"/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FF06DEAD-97B3-45C4-BF1F-F0E13776C4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absoluteAnchor>
  <xdr:absoluteAnchor>
    <xdr:pos x="7031567" y="25239133"/>
    <xdr:ext cx="6840000" cy="5760000"/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3635E7EB-1405-494C-99E0-1B55A3BA05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absoluteAnchor>
    <xdr:pos x="0" y="25239133"/>
    <xdr:ext cx="6840000" cy="5760000"/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FDBC4706-E6CF-4B5B-A097-A4EB009B71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  <xdr:absoluteAnchor>
    <xdr:pos x="7031567" y="31030333"/>
    <xdr:ext cx="6840000" cy="5760000"/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FA4E4BCE-C3AB-4E59-86F2-B7C2001655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absoluteAnchor>
  <xdr:absoluteAnchor>
    <xdr:pos x="0" y="31030333"/>
    <xdr:ext cx="6840000" cy="5760000"/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624783A7-11CF-47AD-8CD3-C709A768B8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absoluteAnchor>
  <xdr:absoluteAnchor>
    <xdr:pos x="7031567" y="48403933"/>
    <xdr:ext cx="6840000" cy="5760000"/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F25659AF-9B5B-4EA9-BA17-3BC483B5B4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absoluteAnchor>
  <xdr:absoluteAnchor>
    <xdr:pos x="7031567" y="42612733"/>
    <xdr:ext cx="6840000" cy="5760000"/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00CA581C-5D16-40AE-B10D-7D3AFAA482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8779933"/>
    <xdr:ext cx="9000000" cy="576000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DF38360-4E1C-4A48-98EB-769D300901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4571133"/>
    <xdr:ext cx="9000000" cy="57600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3608E8D-FB90-408B-A7A0-9DB1F503DB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0" y="2988733"/>
    <xdr:ext cx="9000000" cy="5760000"/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296454A-277B-4178-B824-F1D7295094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731C199-67E4-4113-BB4C-EC59415CB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53C68388-2CE0-4F0A-81AC-443790D56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20174C8F-756A-494B-8ECC-473264805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41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96121C85-4777-4044-A624-E16DEDDA9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4C0BA919-7700-4F2C-9DC9-9B857566E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86D1318-76E3-4DCD-8159-DEC829A6A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486C7EBD-57E4-4EF8-8B72-B578D4683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D592F856-908E-4B9A-BCB1-0FCAE861E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43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42D6937E-0AB0-4BF9-B2D2-BC37E89E5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E8E0945D-1DCC-4E7D-8C69-698E3F73A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ED4ADE8-08AC-4520-8E56-7EAB361B8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B3F1D4D4-3FE2-4E2C-8485-78AC8A5EB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01CE530E-E944-4FB3-8852-4AD9A4E52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42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F53129AF-6791-42F7-A015-7B6A52836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E3A64136-8369-46B1-930A-9C90069F5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B98503-2EEE-4DD0-BECB-D9745BA25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45B4F28E-51C1-460A-A086-05D0216A7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9ED0B882-BF7C-4A81-AC1D-11EE6CF33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43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A3C511D5-C660-4177-BA7E-5F7176916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2C440B37-AE43-4BFC-BD7B-580EB55D0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5447968-488F-490B-AA39-7300A8FC3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F52C48F9-D9A1-4FC7-814B-40F15A96C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2E1E3396-960B-46FC-BB28-E2CA612B4C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42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C09F6211-AF6F-42F4-9CBF-01CE15374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B4648296-2504-4980-AD05-143000623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2035186-3C49-4037-82AA-817EB4C4A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3DF7E060-5924-475B-A431-07F990C04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0DC69BF8-41AF-459F-8C62-92D859170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43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089DD820-54E3-4320-998C-3BE96D99C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358618CA-0470-4EDC-9AA1-55048E781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F42706C-F2BB-4590-8E14-3D9C45930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C81061F2-C690-4928-BB00-CDBC19351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CF343AB5-1367-4463-AD9D-8F4B83144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43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6A1A37A2-4316-42D6-999F-03EC4D4D2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4F3A372B-1423-457A-91AE-087242D57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29</xdr:col>
      <xdr:colOff>563033</xdr:colOff>
      <xdr:row>20</xdr:row>
      <xdr:rowOff>46567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A8C2341-C2AF-4D18-A5A0-BA4DDE14B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0</xdr:colOff>
      <xdr:row>2</xdr:row>
      <xdr:rowOff>0</xdr:rowOff>
    </xdr:from>
    <xdr:to>
      <xdr:col>53</xdr:col>
      <xdr:colOff>0</xdr:colOff>
      <xdr:row>20</xdr:row>
      <xdr:rowOff>46567</xdr:rowOff>
    </xdr:to>
    <xdr:graphicFrame macro="">
      <xdr:nvGraphicFramePr>
        <xdr:cNvPr id="3" name="Diagramm 6">
          <a:extLst>
            <a:ext uri="{FF2B5EF4-FFF2-40B4-BE49-F238E27FC236}">
              <a16:creationId xmlns:a16="http://schemas.microsoft.com/office/drawing/2014/main" id="{169EEE2C-C73B-4763-B5FA-0E0140D76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29</xdr:col>
      <xdr:colOff>563033</xdr:colOff>
      <xdr:row>39</xdr:row>
      <xdr:rowOff>46567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0B8C3017-6DE8-48EA-A0F8-4ABBA61F9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53</xdr:col>
      <xdr:colOff>0</xdr:colOff>
      <xdr:row>42</xdr:row>
      <xdr:rowOff>0</xdr:rowOff>
    </xdr:to>
    <xdr:graphicFrame macro="">
      <xdr:nvGraphicFramePr>
        <xdr:cNvPr id="5" name="Diagramm 12">
          <a:extLst>
            <a:ext uri="{FF2B5EF4-FFF2-40B4-BE49-F238E27FC236}">
              <a16:creationId xmlns:a16="http://schemas.microsoft.com/office/drawing/2014/main" id="{8D535EE6-04D4-4D8D-B64A-8231AD2B9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37</xdr:col>
      <xdr:colOff>563033</xdr:colOff>
      <xdr:row>20</xdr:row>
      <xdr:rowOff>46567</xdr:rowOff>
    </xdr:to>
    <xdr:graphicFrame macro="">
      <xdr:nvGraphicFramePr>
        <xdr:cNvPr id="6" name="Diagramm 9">
          <a:extLst>
            <a:ext uri="{FF2B5EF4-FFF2-40B4-BE49-F238E27FC236}">
              <a16:creationId xmlns:a16="http://schemas.microsoft.com/office/drawing/2014/main" id="{44C7C00B-BCB4-4875-915F-95E8D5976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76EFC-C2A2-4CE5-9F85-433F2DA78A82}">
  <dimension ref="A1:BB44"/>
  <sheetViews>
    <sheetView zoomScaleNormal="100" zoomScaleSheetLayoutView="100" workbookViewId="0">
      <selection activeCell="H22" sqref="H22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15" max="15" width="10.76171875" customWidth="1"/>
    <col min="21" max="21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N3" s="3" t="s">
        <v>245</v>
      </c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1" t="s">
        <v>200</v>
      </c>
      <c r="K6" s="97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45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70"/>
      <c r="L7" s="32" t="s">
        <v>192</v>
      </c>
      <c r="M7" s="89" t="s">
        <v>100</v>
      </c>
      <c r="N7" s="57">
        <f>AVERAGE(B10:B19,B21:B30,B32:B42)</f>
        <v>0.28709677419354845</v>
      </c>
      <c r="O7" s="56">
        <f>MAX(B10:B19,B21:B30,B32:B42)</f>
        <v>6.8</v>
      </c>
      <c r="P7" s="36">
        <f>MIN(B10:B19,B21:B30,B32:B42)</f>
        <v>-5.0999999999999996</v>
      </c>
      <c r="Q7" s="32"/>
      <c r="R7" s="34">
        <v>-1.71</v>
      </c>
      <c r="S7" s="63" t="s">
        <v>191</v>
      </c>
      <c r="T7" s="34" t="s">
        <v>190</v>
      </c>
      <c r="U7" s="34">
        <f>COUNTIF($C$10:$C$19,"&lt;=-10")+COUNTIF($C$21:$C$30,"&lt;=-10")+COUNTIF($C$32:$C$42,"&lt;=-10")</f>
        <v>0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AVERAGE(C10:C19,C21:C30,C32:C42)</f>
        <v>-3.8193548387096778</v>
      </c>
      <c r="O8" s="56">
        <f>MAX(C10:C19,C21:C30,C32:C42)</f>
        <v>2.7</v>
      </c>
      <c r="P8" s="36">
        <f>MIN(C10:C19,C21:C30,C32:C42)</f>
        <v>-8.6</v>
      </c>
      <c r="Q8" s="32"/>
      <c r="R8" s="34">
        <v>0.08</v>
      </c>
      <c r="S8" s="63" t="s">
        <v>185</v>
      </c>
      <c r="T8" s="36" t="s">
        <v>184</v>
      </c>
      <c r="U8" s="36">
        <f>COUNTIF($B$10:$B$19,"&lt;=0")+COUNTIF($B$21:$B$30,"&lt;=0")+COUNTIF($B$32:$B$42,"&lt;=0")</f>
        <v>16</v>
      </c>
      <c r="V8" s="34">
        <v>8.3000000000000007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AVERAGE(E10:E19,E21:E30,E32:E42)</f>
        <v>-1.65</v>
      </c>
      <c r="O9" s="56">
        <f>MAX(E10:E19,E21:E30,E32:E42)</f>
        <v>4.5199999999999996</v>
      </c>
      <c r="P9" s="36">
        <f>MIN(E10:E19,E21:E30,E32:E42)</f>
        <v>-7.27</v>
      </c>
      <c r="Q9" s="32"/>
      <c r="R9" s="34">
        <v>-1.05</v>
      </c>
      <c r="S9" s="63" t="s">
        <v>177</v>
      </c>
      <c r="T9" s="37" t="s">
        <v>176</v>
      </c>
      <c r="U9" s="37">
        <f>COUNTIF($C$10:$C$19,"&lt;0")+COUNTIF($C$21:$C$30,"&lt;0")+COUNTIF($C$32:$C$42,"&lt;0")</f>
        <v>25</v>
      </c>
      <c r="V9" s="34">
        <v>-0.5</v>
      </c>
    </row>
    <row r="10" spans="1:54" x14ac:dyDescent="0.4">
      <c r="A10" s="31">
        <v>1</v>
      </c>
      <c r="B10" s="30">
        <v>-0.5</v>
      </c>
      <c r="C10" s="23">
        <v>-1.8</v>
      </c>
      <c r="D10" s="23">
        <f t="shared" ref="D10:D19" si="0">SUM(B10-C10)</f>
        <v>1.3</v>
      </c>
      <c r="E10" s="29">
        <v>-1.24</v>
      </c>
      <c r="F10" s="28">
        <v>21</v>
      </c>
      <c r="G10" s="23">
        <v>4.5999999999999996</v>
      </c>
      <c r="H10" s="23">
        <f>G10</f>
        <v>4.5999999999999996</v>
      </c>
      <c r="I10" s="27">
        <v>0</v>
      </c>
      <c r="J10" s="23">
        <v>10</v>
      </c>
      <c r="K10" s="23">
        <v>15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COUNTIF($B$10:$B$19,"&lt;10")+COUNTIF($B$21:$B$30,"&lt;10")+COUNTIF($B$32:$B$42,"&lt;10")</f>
        <v>31</v>
      </c>
      <c r="V10" s="32"/>
    </row>
    <row r="11" spans="1:54" x14ac:dyDescent="0.4">
      <c r="A11" s="31">
        <v>2</v>
      </c>
      <c r="B11" s="30">
        <v>-1.6</v>
      </c>
      <c r="C11" s="23">
        <v>-3.2</v>
      </c>
      <c r="D11" s="23">
        <f t="shared" si="0"/>
        <v>1.6</v>
      </c>
      <c r="E11" s="29">
        <v>-2.1800000000000002</v>
      </c>
      <c r="F11" s="28">
        <v>23</v>
      </c>
      <c r="G11" s="23">
        <v>0</v>
      </c>
      <c r="H11" s="23">
        <f t="shared" ref="H11:H19" si="1">H10+G11</f>
        <v>4.5999999999999996</v>
      </c>
      <c r="I11" s="27">
        <v>0</v>
      </c>
      <c r="J11" s="23">
        <v>0</v>
      </c>
      <c r="K11" s="23">
        <v>11</v>
      </c>
      <c r="L11" s="32" t="s">
        <v>173</v>
      </c>
      <c r="M11" s="89" t="s">
        <v>102</v>
      </c>
      <c r="N11" s="57">
        <f>AVERAGE(F10:F19,F21:F30,F32:F42)</f>
        <v>24.93548387096774</v>
      </c>
      <c r="O11" s="56">
        <f>MAX(F10:F19,F21:F30,F32:F42)</f>
        <v>61</v>
      </c>
      <c r="P11" s="36">
        <f>MIN(F10:F19,F21:F30,F32:F42)</f>
        <v>0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COUNTIF($B$10:$B$19,"&gt;=20")+COUNTIF($B$21:$B$30,"&gt;=20")+COUNTIF($B$32:$B$42,"&gt;=20")</f>
        <v>0</v>
      </c>
      <c r="V11" s="32"/>
    </row>
    <row r="12" spans="1:54" x14ac:dyDescent="0.4">
      <c r="A12" s="31">
        <v>3</v>
      </c>
      <c r="B12" s="30">
        <v>-2.2000000000000002</v>
      </c>
      <c r="C12" s="23">
        <v>-5.0999999999999996</v>
      </c>
      <c r="D12" s="23">
        <f t="shared" si="0"/>
        <v>2.8999999999999995</v>
      </c>
      <c r="E12" s="29">
        <v>-3.28</v>
      </c>
      <c r="F12" s="28">
        <v>18</v>
      </c>
      <c r="G12" s="23">
        <v>0.6</v>
      </c>
      <c r="H12" s="23">
        <f t="shared" si="1"/>
        <v>5.1999999999999993</v>
      </c>
      <c r="I12" s="27">
        <v>0.45</v>
      </c>
      <c r="J12" s="23">
        <v>1</v>
      </c>
      <c r="K12" s="23">
        <v>11</v>
      </c>
      <c r="L12" s="32"/>
      <c r="M12" s="32"/>
      <c r="N12" s="57"/>
      <c r="O12" s="56"/>
      <c r="P12" s="36"/>
      <c r="Q12" s="32"/>
      <c r="S12" s="63" t="s">
        <v>170</v>
      </c>
      <c r="T12" s="48" t="s">
        <v>169</v>
      </c>
      <c r="U12" s="48">
        <f>COUNTIF($B$10:$B$19,"&gt;=25")+COUNTIF($B$21:$B$30,"&gt;=25")+COUNTIF($B$32:$B$42,"&gt;=25")</f>
        <v>0</v>
      </c>
      <c r="V12" s="34">
        <v>0</v>
      </c>
    </row>
    <row r="13" spans="1:54" x14ac:dyDescent="0.4">
      <c r="A13" s="31">
        <v>4</v>
      </c>
      <c r="B13" s="30">
        <v>-3.1</v>
      </c>
      <c r="C13" s="23">
        <v>-6.1</v>
      </c>
      <c r="D13" s="23">
        <f t="shared" si="0"/>
        <v>2.9999999999999996</v>
      </c>
      <c r="E13" s="29">
        <v>-4.41</v>
      </c>
      <c r="F13" s="28">
        <v>16</v>
      </c>
      <c r="G13" s="23">
        <v>0</v>
      </c>
      <c r="H13" s="23">
        <f t="shared" si="1"/>
        <v>5.1999999999999993</v>
      </c>
      <c r="I13" s="27">
        <v>0</v>
      </c>
      <c r="J13" s="23">
        <v>0</v>
      </c>
      <c r="K13" s="23">
        <v>10</v>
      </c>
      <c r="L13" s="32" t="s">
        <v>168</v>
      </c>
      <c r="M13" s="89" t="s">
        <v>104</v>
      </c>
      <c r="N13" s="57">
        <f>AVERAGE(G10:G19,G21:G30,G32:G42)</f>
        <v>5.4451612903225808</v>
      </c>
      <c r="O13" s="56">
        <f>MAX(G10:G19,G21:G30,G32:G42)</f>
        <v>37</v>
      </c>
      <c r="P13" s="36">
        <f>MIN(G10:G19,G21:G30,G32:G42)</f>
        <v>0</v>
      </c>
      <c r="Q13" s="32"/>
      <c r="R13" s="90"/>
      <c r="S13" s="63" t="s">
        <v>167</v>
      </c>
      <c r="T13" s="55" t="s">
        <v>166</v>
      </c>
      <c r="U13" s="55">
        <f>COUNTIF($B$10:$B$19,"&gt;=30")+COUNTIF($B$21:$B$30,"&gt;=30")+COUNTIF($B$32:$B$42,"&gt;=30")</f>
        <v>0</v>
      </c>
      <c r="V13" s="34">
        <v>0</v>
      </c>
    </row>
    <row r="14" spans="1:54" x14ac:dyDescent="0.4">
      <c r="A14" s="31">
        <v>5</v>
      </c>
      <c r="B14" s="30">
        <v>-2.8</v>
      </c>
      <c r="C14" s="23">
        <v>-4.5</v>
      </c>
      <c r="D14" s="23">
        <f t="shared" si="0"/>
        <v>1.7000000000000002</v>
      </c>
      <c r="E14" s="29">
        <v>-3.78</v>
      </c>
      <c r="F14" s="28">
        <v>13</v>
      </c>
      <c r="G14" s="23">
        <v>0</v>
      </c>
      <c r="H14" s="23">
        <f t="shared" si="1"/>
        <v>5.1999999999999993</v>
      </c>
      <c r="I14" s="27">
        <v>0</v>
      </c>
      <c r="J14" s="23">
        <v>0</v>
      </c>
      <c r="K14" s="23">
        <v>9</v>
      </c>
      <c r="L14" s="32" t="s">
        <v>165</v>
      </c>
      <c r="M14" s="89" t="s">
        <v>104</v>
      </c>
      <c r="N14" s="64"/>
      <c r="O14" s="32"/>
      <c r="P14" s="32"/>
      <c r="Q14" s="40">
        <f>MAX(H10:H19,H21:H30,H32:H42)</f>
        <v>168.8</v>
      </c>
      <c r="R14" s="34">
        <v>97.8</v>
      </c>
      <c r="S14" s="63" t="s">
        <v>164</v>
      </c>
      <c r="T14" s="59" t="s">
        <v>163</v>
      </c>
      <c r="U14" s="59">
        <f>COUNTIF($C$10:$C$19,"&gt;=20")+COUNTIF($C$21:$C$30,"&gt;=20")+COUNTIF($C$32:$C$42,"&gt;=20")</f>
        <v>0</v>
      </c>
      <c r="V14" s="60"/>
    </row>
    <row r="15" spans="1:54" x14ac:dyDescent="0.4">
      <c r="A15" s="31">
        <v>6</v>
      </c>
      <c r="B15" s="30">
        <v>-3.1</v>
      </c>
      <c r="C15" s="23">
        <v>-5.8</v>
      </c>
      <c r="D15" s="23">
        <f t="shared" si="0"/>
        <v>2.6999999999999997</v>
      </c>
      <c r="E15" s="29">
        <v>-4.24</v>
      </c>
      <c r="F15" s="28">
        <v>16</v>
      </c>
      <c r="G15" s="23">
        <v>0.2</v>
      </c>
      <c r="H15" s="23">
        <f t="shared" si="1"/>
        <v>5.3999999999999995</v>
      </c>
      <c r="I15" s="27">
        <v>0.47</v>
      </c>
      <c r="J15" s="23">
        <v>0</v>
      </c>
      <c r="K15" s="23">
        <v>8</v>
      </c>
      <c r="L15" s="32"/>
      <c r="M15" s="32"/>
      <c r="N15" s="57"/>
      <c r="O15" s="56"/>
      <c r="P15" s="36"/>
      <c r="S15" s="32"/>
      <c r="T15" s="32"/>
      <c r="U15" s="32"/>
      <c r="V15" s="60"/>
    </row>
    <row r="16" spans="1:54" x14ac:dyDescent="0.4">
      <c r="A16" s="31">
        <v>7</v>
      </c>
      <c r="B16" s="30">
        <v>-2.2999999999999998</v>
      </c>
      <c r="C16" s="23">
        <v>-5</v>
      </c>
      <c r="D16" s="23">
        <f t="shared" si="0"/>
        <v>2.7</v>
      </c>
      <c r="E16" s="29">
        <v>-3.89</v>
      </c>
      <c r="F16" s="28">
        <v>3</v>
      </c>
      <c r="G16" s="23">
        <v>0</v>
      </c>
      <c r="H16" s="23">
        <f t="shared" si="1"/>
        <v>5.3999999999999995</v>
      </c>
      <c r="I16" s="27">
        <v>3.73</v>
      </c>
      <c r="J16" s="23">
        <v>2</v>
      </c>
      <c r="K16" s="23">
        <v>10</v>
      </c>
      <c r="L16" s="32" t="s">
        <v>162</v>
      </c>
      <c r="M16" s="89" t="s">
        <v>105</v>
      </c>
      <c r="N16" s="57">
        <f>AVERAGE(I10:I19,I21:I30,I32:I42)</f>
        <v>1.2170967741935483</v>
      </c>
      <c r="O16" s="62">
        <f>MAX(I10:I19,I21:I30,I32:I42)</f>
        <v>4</v>
      </c>
      <c r="P16" s="61">
        <f>MIN(I10:I19,I21:I30,I32:I42)</f>
        <v>0</v>
      </c>
      <c r="Q16" s="94">
        <v>37.75</v>
      </c>
      <c r="R16" s="34">
        <v>-28.25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-2.1</v>
      </c>
      <c r="C17" s="23">
        <v>-6.4</v>
      </c>
      <c r="D17" s="23">
        <f t="shared" si="0"/>
        <v>4.3000000000000007</v>
      </c>
      <c r="E17" s="29">
        <v>-4.42</v>
      </c>
      <c r="F17" s="28">
        <v>14</v>
      </c>
      <c r="G17" s="23">
        <v>0</v>
      </c>
      <c r="H17" s="23">
        <f t="shared" si="1"/>
        <v>5.3999999999999995</v>
      </c>
      <c r="I17" s="27">
        <v>3.67</v>
      </c>
      <c r="J17" s="23">
        <v>0</v>
      </c>
      <c r="K17" s="23">
        <v>9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COUNTIF(G10:G19,"&gt;=1")+COUNTIF(G21:G30,"&gt;=1")+COUNTIF(G32:G42,"&gt;=1")</f>
        <v>13</v>
      </c>
      <c r="V17" s="34">
        <v>2.6</v>
      </c>
    </row>
    <row r="18" spans="1:22" x14ac:dyDescent="0.4">
      <c r="A18" s="31">
        <v>9</v>
      </c>
      <c r="B18" s="30">
        <v>-3.7</v>
      </c>
      <c r="C18" s="23">
        <v>-7.6</v>
      </c>
      <c r="D18" s="23">
        <f t="shared" si="0"/>
        <v>3.8999999999999995</v>
      </c>
      <c r="E18" s="29">
        <v>-5.55</v>
      </c>
      <c r="F18" s="28">
        <v>26</v>
      </c>
      <c r="G18" s="23">
        <v>0</v>
      </c>
      <c r="H18" s="23">
        <f t="shared" si="1"/>
        <v>5.3999999999999995</v>
      </c>
      <c r="I18" s="27">
        <v>2.98</v>
      </c>
      <c r="J18" s="23">
        <v>0</v>
      </c>
      <c r="K18" s="23">
        <v>9</v>
      </c>
      <c r="L18" s="32" t="s">
        <v>159</v>
      </c>
      <c r="M18" s="89" t="s">
        <v>108</v>
      </c>
      <c r="N18" s="57">
        <f>AVERAGE(J10:J19,J21:J30,J32:J42)</f>
        <v>3.129032258064516</v>
      </c>
      <c r="O18" s="56">
        <f>MAX(J10:J19,J21:J30,J32:J42)</f>
        <v>15</v>
      </c>
      <c r="P18" s="36">
        <f>MIN(J10:J19,J21:J30,J32:J42)</f>
        <v>0</v>
      </c>
      <c r="Q18" s="58">
        <f>SUM(J10:J19,J21:J30,J32:J42)</f>
        <v>97</v>
      </c>
      <c r="R18" s="32"/>
      <c r="S18" s="32"/>
      <c r="T18" s="85" t="s">
        <v>224</v>
      </c>
      <c r="U18" s="85">
        <f>COUNTIF(G10:G19,"&gt;=10")+COUNTIF(G21:G30,"&gt;=10")+COUNTIF(G32:G42,"&gt;=10")</f>
        <v>8</v>
      </c>
      <c r="V18" s="32"/>
    </row>
    <row r="19" spans="1:22" x14ac:dyDescent="0.4">
      <c r="A19" s="31">
        <v>10</v>
      </c>
      <c r="B19" s="30">
        <v>-4.7</v>
      </c>
      <c r="C19" s="23">
        <v>-8.1999999999999993</v>
      </c>
      <c r="D19" s="23">
        <f t="shared" si="0"/>
        <v>3.4999999999999991</v>
      </c>
      <c r="E19" s="29">
        <v>-6.24</v>
      </c>
      <c r="F19" s="28">
        <v>24</v>
      </c>
      <c r="G19" s="23">
        <v>0</v>
      </c>
      <c r="H19" s="23">
        <f t="shared" si="1"/>
        <v>5.3999999999999995</v>
      </c>
      <c r="I19" s="27">
        <v>4</v>
      </c>
      <c r="J19" s="23">
        <v>0</v>
      </c>
      <c r="K19" s="23">
        <v>9</v>
      </c>
      <c r="L19" s="32" t="s">
        <v>157</v>
      </c>
      <c r="M19" s="89" t="s">
        <v>108</v>
      </c>
      <c r="N19" s="57">
        <f>AVERAGE(K10:K19,K21:K30,K32:K42)</f>
        <v>13.193548387096774</v>
      </c>
      <c r="O19" s="56">
        <f>MAX(K10:K19,K21:K30,K32:K42)</f>
        <v>38</v>
      </c>
      <c r="P19" s="36">
        <f>MIN(K10:K19,K21:K30,K32:K42)</f>
        <v>0</v>
      </c>
      <c r="S19" s="32"/>
      <c r="T19" s="86" t="s">
        <v>225</v>
      </c>
      <c r="U19" s="86">
        <f>COUNTIF(G10:G19,"&gt;=20")+COUNTIF(G21:G30,"&gt;=20")+COUNTIF(G32:G42,"&gt;=20")</f>
        <v>1</v>
      </c>
      <c r="V19" s="32"/>
    </row>
    <row r="20" spans="1:22" x14ac:dyDescent="0.4">
      <c r="A20" s="54" t="s">
        <v>155</v>
      </c>
      <c r="B20" s="53">
        <f t="shared" ref="B20:G20" si="2">AVERAGE(B10:B19)</f>
        <v>-2.61</v>
      </c>
      <c r="C20" s="49">
        <f t="shared" si="2"/>
        <v>-5.37</v>
      </c>
      <c r="D20" s="49">
        <f t="shared" si="2"/>
        <v>2.76</v>
      </c>
      <c r="E20" s="52">
        <f t="shared" si="2"/>
        <v>-3.9229999999999996</v>
      </c>
      <c r="F20" s="51">
        <f t="shared" si="2"/>
        <v>17.399999999999999</v>
      </c>
      <c r="G20" s="49">
        <f t="shared" si="2"/>
        <v>0.53999999999999992</v>
      </c>
      <c r="H20" s="49">
        <f>MAX(H10:H19)</f>
        <v>5.3999999999999995</v>
      </c>
      <c r="I20" s="50">
        <f>AVERAGE(I10:I19)</f>
        <v>1.53</v>
      </c>
      <c r="J20" s="49">
        <f>SUM(J10:J19)</f>
        <v>13</v>
      </c>
      <c r="K20" s="49">
        <f>AVERAGE(K10:K19)</f>
        <v>10.1</v>
      </c>
      <c r="Q20" s="32"/>
      <c r="R20" s="32"/>
      <c r="S20" s="32"/>
      <c r="T20" s="87" t="s">
        <v>226</v>
      </c>
      <c r="U20" s="87">
        <f>COUNTIF(G10:G19,"&gt;=50")+COUNTIF(G21:G30,"&gt;=50")+COUNTIF(G32:G42,"&gt;=50")</f>
        <v>0</v>
      </c>
      <c r="V20" s="32"/>
    </row>
    <row r="21" spans="1:22" x14ac:dyDescent="0.4">
      <c r="A21" s="31">
        <v>11</v>
      </c>
      <c r="B21" s="30">
        <v>-5.0999999999999996</v>
      </c>
      <c r="C21" s="23">
        <v>-8.6</v>
      </c>
      <c r="D21" s="23">
        <f t="shared" ref="D21:D30" si="3">SUM(B21-C21)</f>
        <v>3.5</v>
      </c>
      <c r="E21" s="29">
        <v>-7.27</v>
      </c>
      <c r="F21" s="28">
        <v>18</v>
      </c>
      <c r="G21" s="23">
        <v>0</v>
      </c>
      <c r="H21" s="23">
        <f>H19+G21</f>
        <v>5.3999999999999995</v>
      </c>
      <c r="I21" s="27">
        <v>3.9</v>
      </c>
      <c r="J21" s="23">
        <v>0</v>
      </c>
      <c r="K21" s="23">
        <v>9</v>
      </c>
      <c r="Q21" s="32"/>
      <c r="R21" s="32"/>
      <c r="S21" s="32"/>
      <c r="V21" s="32"/>
    </row>
    <row r="22" spans="1:22" x14ac:dyDescent="0.4">
      <c r="A22" s="31">
        <v>12</v>
      </c>
      <c r="B22" s="30">
        <v>0.3</v>
      </c>
      <c r="C22" s="23">
        <v>-8.4</v>
      </c>
      <c r="D22" s="23">
        <f t="shared" si="3"/>
        <v>8.7000000000000011</v>
      </c>
      <c r="E22" s="29">
        <v>-3.06</v>
      </c>
      <c r="F22" s="28">
        <v>24</v>
      </c>
      <c r="G22" s="23">
        <v>3</v>
      </c>
      <c r="H22" s="23">
        <f t="shared" ref="H22:H30" si="4">H21+G22</f>
        <v>8.3999999999999986</v>
      </c>
      <c r="I22" s="27">
        <v>0</v>
      </c>
      <c r="J22" s="23">
        <v>0</v>
      </c>
      <c r="K22" s="23">
        <v>8</v>
      </c>
      <c r="Q22" s="32"/>
      <c r="R22" s="32"/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2</v>
      </c>
      <c r="C23" s="23">
        <v>-0.5</v>
      </c>
      <c r="D23" s="23">
        <f t="shared" si="3"/>
        <v>2.5</v>
      </c>
      <c r="E23" s="29">
        <v>0.62</v>
      </c>
      <c r="F23" s="28">
        <v>35</v>
      </c>
      <c r="G23" s="23">
        <v>17.399999999999999</v>
      </c>
      <c r="H23" s="23">
        <f t="shared" si="4"/>
        <v>25.799999999999997</v>
      </c>
      <c r="I23" s="27">
        <v>0</v>
      </c>
      <c r="J23" s="23">
        <v>8</v>
      </c>
      <c r="K23" s="23">
        <v>15</v>
      </c>
      <c r="Q23" s="32"/>
      <c r="R23" s="32"/>
      <c r="S23" s="32"/>
      <c r="T23" s="59" t="s">
        <v>160</v>
      </c>
      <c r="U23" s="59">
        <f>COUNTIF($F$10:$F$19,"&gt;=61.8")+COUNTIF($F$21:$F$30,"&gt;=61.8")+COUNTIF($F$32:$F$42,"&gt;=61.8")</f>
        <v>0</v>
      </c>
      <c r="V23" s="32"/>
    </row>
    <row r="24" spans="1:22" x14ac:dyDescent="0.4">
      <c r="A24" s="31">
        <v>14</v>
      </c>
      <c r="B24" s="30">
        <v>2.4</v>
      </c>
      <c r="C24" s="23">
        <v>0.9</v>
      </c>
      <c r="D24" s="23">
        <f t="shared" si="3"/>
        <v>1.5</v>
      </c>
      <c r="E24" s="29">
        <v>1.75</v>
      </c>
      <c r="F24" s="28">
        <v>50</v>
      </c>
      <c r="G24" s="23">
        <v>18.2</v>
      </c>
      <c r="H24" s="23">
        <f t="shared" si="4"/>
        <v>44</v>
      </c>
      <c r="I24" s="27">
        <v>0</v>
      </c>
      <c r="J24" s="23">
        <v>0</v>
      </c>
      <c r="K24" s="23">
        <v>11</v>
      </c>
      <c r="Q24" s="32"/>
      <c r="R24" s="32"/>
      <c r="S24" s="32"/>
      <c r="T24" s="56" t="s">
        <v>158</v>
      </c>
      <c r="U24" s="56">
        <f>COUNTIF($F$10:$F$19,"&gt;=49.9")+COUNTIF($F$21:$F$30,"&gt;=49.9")+COUNTIF($F$32:$F$42,"&gt;=49.9")-COUNTIF($F$10:$F$19,"&gt;61.7")-COUNTIF($F$21:$F$30,"&gt;61.7")-COUNTIF($F$32:$F$42,"&gt;61.7")</f>
        <v>3</v>
      </c>
      <c r="V24" s="32"/>
    </row>
    <row r="25" spans="1:22" x14ac:dyDescent="0.4">
      <c r="A25" s="31">
        <v>15</v>
      </c>
      <c r="B25" s="30">
        <v>1.6</v>
      </c>
      <c r="C25" s="23">
        <v>-7.6</v>
      </c>
      <c r="D25" s="23">
        <f t="shared" si="3"/>
        <v>9.1999999999999993</v>
      </c>
      <c r="E25" s="29">
        <v>-1.75</v>
      </c>
      <c r="F25" s="28">
        <v>23</v>
      </c>
      <c r="G25" s="23">
        <v>5.2</v>
      </c>
      <c r="H25" s="23">
        <f t="shared" si="4"/>
        <v>49.2</v>
      </c>
      <c r="I25" s="27">
        <v>0</v>
      </c>
      <c r="J25" s="23">
        <v>0</v>
      </c>
      <c r="K25" s="23">
        <v>6</v>
      </c>
      <c r="Q25" s="32"/>
      <c r="R25" s="32"/>
      <c r="S25" s="32"/>
      <c r="T25" s="55" t="s">
        <v>156</v>
      </c>
      <c r="U25" s="55">
        <f>COUNTIF($F$10:$F$19,"&gt;=38.8")+COUNTIF($F$21:$F$30,"&gt;=38.8")+COUNTIF($F$32:$F$42,"&gt;=38.8")-COUNTIF($F$10:$F$19,"&gt;49.8")-COUNTIF($F$21:$F$30,"&gt;49.8")-COUNTIF($F$32:$F$42,"&gt;49.8")</f>
        <v>3</v>
      </c>
      <c r="V25" s="32"/>
    </row>
    <row r="26" spans="1:22" x14ac:dyDescent="0.4">
      <c r="A26" s="31">
        <v>16</v>
      </c>
      <c r="B26" s="30">
        <v>-3.6</v>
      </c>
      <c r="C26" s="23">
        <v>-6.4</v>
      </c>
      <c r="D26" s="23">
        <f t="shared" si="3"/>
        <v>2.8000000000000003</v>
      </c>
      <c r="E26" s="29">
        <v>-5.42</v>
      </c>
      <c r="F26" s="28">
        <v>0</v>
      </c>
      <c r="G26" s="23">
        <v>0</v>
      </c>
      <c r="H26" s="23">
        <f t="shared" si="4"/>
        <v>49.2</v>
      </c>
      <c r="I26" s="27">
        <v>1.28</v>
      </c>
      <c r="J26" s="23">
        <v>2</v>
      </c>
      <c r="K26" s="23">
        <v>8</v>
      </c>
      <c r="Q26" s="32"/>
      <c r="R26" s="32"/>
      <c r="S26" s="32"/>
      <c r="T26" s="48" t="s">
        <v>154</v>
      </c>
      <c r="U26" s="48">
        <f>COUNTIF($F$10:$F$19,"&gt;=28.6")+COUNTIF($F$21:$F$30,"&gt;=28.6")+COUNTIF($F$32:$F$42,"&gt;=28.6")-COUNTIF($F$10:$F$19,"&gt;38.7")-COUNTIF($F$21:$F$30,"&gt;38.7")-COUNTIF($F$32:$F$42,"&gt;38.7")</f>
        <v>3</v>
      </c>
      <c r="V26" s="32"/>
    </row>
    <row r="27" spans="1:22" x14ac:dyDescent="0.4">
      <c r="A27" s="31">
        <v>17</v>
      </c>
      <c r="B27" s="30">
        <v>-0.3</v>
      </c>
      <c r="C27" s="23">
        <v>-4.7</v>
      </c>
      <c r="D27" s="23">
        <f t="shared" si="3"/>
        <v>4.4000000000000004</v>
      </c>
      <c r="E27" s="29">
        <v>-1.49</v>
      </c>
      <c r="F27" s="28">
        <v>28</v>
      </c>
      <c r="G27" s="23">
        <v>9.1999999999999993</v>
      </c>
      <c r="H27" s="23">
        <f t="shared" si="4"/>
        <v>58.400000000000006</v>
      </c>
      <c r="I27" s="27">
        <v>0</v>
      </c>
      <c r="J27" s="23">
        <v>1</v>
      </c>
      <c r="K27" s="23">
        <v>8</v>
      </c>
      <c r="Q27" s="32"/>
      <c r="R27" s="32"/>
      <c r="S27" s="32"/>
      <c r="T27" s="47" t="s">
        <v>153</v>
      </c>
      <c r="U27" s="47">
        <f>COUNTIF($F$10:$F$19,"&gt;=19.5")+COUNTIF($F$21:$F$30,"&gt;=19.5")+COUNTIF($F$32:$F$42,"&gt;=19.5")-COUNTIF($F$10:$F$19,"&gt;28.5")-COUNTIF($F$21:$F$30,"&gt;28.5")-COUNTIF($F$32:$F$42,"&gt;28.5")</f>
        <v>8</v>
      </c>
      <c r="V27" s="32"/>
    </row>
    <row r="28" spans="1:22" x14ac:dyDescent="0.4">
      <c r="A28" s="31">
        <v>18</v>
      </c>
      <c r="B28" s="30">
        <v>0.6</v>
      </c>
      <c r="C28" s="23">
        <v>-4.2</v>
      </c>
      <c r="D28" s="23">
        <f t="shared" si="3"/>
        <v>4.8</v>
      </c>
      <c r="E28" s="29">
        <v>-1.83</v>
      </c>
      <c r="F28" s="28">
        <v>8</v>
      </c>
      <c r="G28" s="23">
        <v>0</v>
      </c>
      <c r="H28" s="23">
        <f t="shared" si="4"/>
        <v>58.400000000000006</v>
      </c>
      <c r="I28" s="27">
        <v>1.1200000000000001</v>
      </c>
      <c r="J28" s="23">
        <v>11</v>
      </c>
      <c r="K28" s="23">
        <v>18</v>
      </c>
      <c r="S28" s="32"/>
      <c r="T28" s="46" t="s">
        <v>152</v>
      </c>
      <c r="U28" s="46">
        <f>COUNTIF($F$10:$F$19,"&gt;=12")+COUNTIF($F$21:$F$30,"&gt;=12")+COUNTIF($F$32:$F$42,"&gt;=12")-COUNTIF($F$10:$F$19,"&gt;19.4")-COUNTIF($F$21:$F$30,"&gt;19.4")-COUNTIF($F$32:$F$42,"&gt;19.4")</f>
        <v>10</v>
      </c>
      <c r="V28" s="32"/>
    </row>
    <row r="29" spans="1:22" x14ac:dyDescent="0.4">
      <c r="A29" s="31">
        <v>19</v>
      </c>
      <c r="B29" s="30">
        <v>1.9</v>
      </c>
      <c r="C29" s="23">
        <v>-6.3</v>
      </c>
      <c r="D29" s="23">
        <f t="shared" si="3"/>
        <v>8.1999999999999993</v>
      </c>
      <c r="E29" s="29">
        <v>-2.79</v>
      </c>
      <c r="F29" s="28">
        <v>10</v>
      </c>
      <c r="G29" s="23">
        <v>0</v>
      </c>
      <c r="H29" s="23">
        <f t="shared" si="4"/>
        <v>58.400000000000006</v>
      </c>
      <c r="I29" s="27">
        <v>3.97</v>
      </c>
      <c r="J29" s="23">
        <v>0</v>
      </c>
      <c r="K29" s="23">
        <v>16</v>
      </c>
      <c r="S29" s="32"/>
      <c r="T29" s="32" t="s">
        <v>151</v>
      </c>
      <c r="U29" s="32">
        <f>COUNTIF($F$10:$F$19,"&lt;=11.9")+COUNTIF($F$21:$F$30,"&lt;=11.9")+COUNTIF($F$32:$F$42,"&lt;=11.9")</f>
        <v>4</v>
      </c>
      <c r="V29" s="32"/>
    </row>
    <row r="30" spans="1:22" x14ac:dyDescent="0.4">
      <c r="A30" s="31">
        <v>20</v>
      </c>
      <c r="B30" s="30">
        <v>3.9</v>
      </c>
      <c r="C30" s="23">
        <v>-2</v>
      </c>
      <c r="D30" s="23">
        <f t="shared" si="3"/>
        <v>5.9</v>
      </c>
      <c r="E30" s="29">
        <v>0.85</v>
      </c>
      <c r="F30" s="28">
        <v>14</v>
      </c>
      <c r="G30" s="23">
        <v>0</v>
      </c>
      <c r="H30" s="23">
        <f t="shared" si="4"/>
        <v>58.400000000000006</v>
      </c>
      <c r="I30" s="27">
        <v>3.78</v>
      </c>
      <c r="J30" s="23">
        <v>0</v>
      </c>
      <c r="K30" s="23">
        <v>14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5">AVERAGE(B21:B30)</f>
        <v>0.37</v>
      </c>
      <c r="C31" s="17">
        <f t="shared" si="5"/>
        <v>-4.78</v>
      </c>
      <c r="D31" s="17">
        <f t="shared" si="5"/>
        <v>5.1499999999999995</v>
      </c>
      <c r="E31" s="39">
        <f t="shared" si="5"/>
        <v>-2.0390000000000001</v>
      </c>
      <c r="F31" s="18">
        <f t="shared" si="5"/>
        <v>21</v>
      </c>
      <c r="G31" s="17">
        <f t="shared" si="5"/>
        <v>5.3</v>
      </c>
      <c r="H31" s="17">
        <f>SUM(H30-H19)</f>
        <v>53.000000000000007</v>
      </c>
      <c r="I31" s="16">
        <f>AVERAGE(I21:I30)</f>
        <v>1.4049999999999998</v>
      </c>
      <c r="J31" s="17">
        <f>SUM(J21:J30)</f>
        <v>22</v>
      </c>
      <c r="K31" s="17">
        <f>AVERAGE(K21:K30)</f>
        <v>11.3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5.8</v>
      </c>
      <c r="C32" s="23">
        <v>1.1000000000000001</v>
      </c>
      <c r="D32" s="23">
        <f t="shared" ref="D32:D42" si="6">SUM(B32-C32)</f>
        <v>4.6999999999999993</v>
      </c>
      <c r="E32" s="29">
        <v>3.76</v>
      </c>
      <c r="F32" s="28">
        <v>24</v>
      </c>
      <c r="G32" s="23">
        <v>0</v>
      </c>
      <c r="H32" s="23">
        <f>H30+G32</f>
        <v>58.400000000000006</v>
      </c>
      <c r="I32" s="27">
        <v>0.6</v>
      </c>
      <c r="J32" s="23">
        <v>0</v>
      </c>
      <c r="K32" s="23">
        <v>10</v>
      </c>
      <c r="S32" s="32"/>
      <c r="T32" s="44" t="s">
        <v>149</v>
      </c>
      <c r="U32" s="44">
        <f>COUNTIF(K10:K19,"&gt;0")+COUNTIF(K21:K30,"&gt;0")+COUNTIF(K32:K42,"&gt;0")</f>
        <v>30</v>
      </c>
      <c r="V32" s="32"/>
    </row>
    <row r="33" spans="1:22" x14ac:dyDescent="0.4">
      <c r="A33" s="31">
        <v>22</v>
      </c>
      <c r="B33" s="30">
        <v>6.3</v>
      </c>
      <c r="C33" s="23">
        <v>-1.2</v>
      </c>
      <c r="D33" s="23">
        <f t="shared" si="6"/>
        <v>7.5</v>
      </c>
      <c r="E33" s="29">
        <v>3.66</v>
      </c>
      <c r="F33" s="28">
        <v>52</v>
      </c>
      <c r="G33" s="23">
        <v>13</v>
      </c>
      <c r="H33" s="23">
        <f t="shared" ref="H33:H42" si="7">H32+G33</f>
        <v>71.400000000000006</v>
      </c>
      <c r="I33" s="27">
        <v>0.33</v>
      </c>
      <c r="J33" s="23">
        <v>0</v>
      </c>
      <c r="K33" s="23">
        <v>8</v>
      </c>
      <c r="S33" s="32"/>
      <c r="T33" s="43" t="s">
        <v>148</v>
      </c>
      <c r="U33" s="43">
        <f>COUNTIF(K10:K19,"&gt;=1")+COUNTIF(K21:K30,"&gt;=1")+COUNTIF(K32:K42,"&gt;=1")</f>
        <v>30</v>
      </c>
      <c r="V33" s="32"/>
    </row>
    <row r="34" spans="1:22" x14ac:dyDescent="0.4">
      <c r="A34" s="31">
        <v>23</v>
      </c>
      <c r="B34" s="30">
        <v>0.1</v>
      </c>
      <c r="C34" s="23">
        <v>-2.7</v>
      </c>
      <c r="D34" s="23">
        <f t="shared" si="6"/>
        <v>2.8000000000000003</v>
      </c>
      <c r="E34" s="29">
        <v>-1.29</v>
      </c>
      <c r="F34" s="28">
        <v>34</v>
      </c>
      <c r="G34" s="23">
        <v>10.8</v>
      </c>
      <c r="H34" s="23">
        <f t="shared" si="7"/>
        <v>82.2</v>
      </c>
      <c r="I34" s="27">
        <v>1.9</v>
      </c>
      <c r="J34" s="23">
        <v>10</v>
      </c>
      <c r="K34" s="23">
        <v>15</v>
      </c>
      <c r="S34" s="32"/>
      <c r="T34" s="42" t="s">
        <v>147</v>
      </c>
      <c r="U34" s="42">
        <f>COUNTIF(K10:K19,"&gt;=5")+COUNTIF(K21:K30,"&gt;=5")+COUNTIF(K32:K42,"&gt;=5")</f>
        <v>29</v>
      </c>
      <c r="V34" s="32"/>
    </row>
    <row r="35" spans="1:22" x14ac:dyDescent="0.4">
      <c r="A35" s="31">
        <v>24</v>
      </c>
      <c r="B35" s="30">
        <v>-0.2</v>
      </c>
      <c r="C35" s="23">
        <v>-3.9</v>
      </c>
      <c r="D35" s="23">
        <f t="shared" si="6"/>
        <v>3.6999999999999997</v>
      </c>
      <c r="E35" s="29">
        <v>-2.1800000000000002</v>
      </c>
      <c r="F35" s="28">
        <v>39</v>
      </c>
      <c r="G35" s="23">
        <v>0</v>
      </c>
      <c r="H35" s="23">
        <f t="shared" si="7"/>
        <v>82.2</v>
      </c>
      <c r="I35" s="27">
        <v>1.88</v>
      </c>
      <c r="J35" s="23">
        <v>7</v>
      </c>
      <c r="K35" s="23">
        <v>20</v>
      </c>
      <c r="S35" s="32"/>
      <c r="T35" s="41" t="s">
        <v>146</v>
      </c>
      <c r="U35" s="41">
        <f>COUNTIF(K10:K19,"&gt;=10")+COUNTIF(K21:K30,"&gt;=10")+COUNTIF(K32:K42,"&gt;=10")</f>
        <v>17</v>
      </c>
      <c r="V35" s="32"/>
    </row>
    <row r="36" spans="1:22" x14ac:dyDescent="0.4">
      <c r="A36" s="31">
        <v>25</v>
      </c>
      <c r="B36" s="30">
        <v>-2.1</v>
      </c>
      <c r="C36" s="23">
        <v>-4.3</v>
      </c>
      <c r="D36" s="23">
        <f t="shared" si="6"/>
        <v>2.1999999999999997</v>
      </c>
      <c r="E36" s="29">
        <v>-3.02</v>
      </c>
      <c r="F36" s="28">
        <v>48</v>
      </c>
      <c r="G36" s="23">
        <v>13.4</v>
      </c>
      <c r="H36" s="23">
        <f t="shared" si="7"/>
        <v>95.600000000000009</v>
      </c>
      <c r="I36" s="27">
        <v>0.23</v>
      </c>
      <c r="J36" s="23">
        <v>15</v>
      </c>
      <c r="K36" s="23">
        <v>31</v>
      </c>
      <c r="S36" s="32"/>
      <c r="T36" s="40" t="s">
        <v>145</v>
      </c>
      <c r="U36" s="40">
        <f>COUNTIF(K10:K19,"&gt;=15")+COUNTIF(K21:K30,"&gt;=15")+COUNTIF(K32:K42,"&gt;=15")</f>
        <v>10</v>
      </c>
      <c r="V36" s="32"/>
    </row>
    <row r="37" spans="1:22" x14ac:dyDescent="0.4">
      <c r="A37" s="31">
        <v>26</v>
      </c>
      <c r="B37" s="30">
        <v>-1.3</v>
      </c>
      <c r="C37" s="23">
        <v>-5.6</v>
      </c>
      <c r="D37" s="23">
        <f t="shared" si="6"/>
        <v>4.3</v>
      </c>
      <c r="E37" s="29">
        <v>-3.99</v>
      </c>
      <c r="F37" s="28">
        <v>18</v>
      </c>
      <c r="G37" s="23">
        <v>0.2</v>
      </c>
      <c r="H37" s="23">
        <f t="shared" si="7"/>
        <v>95.800000000000011</v>
      </c>
      <c r="I37" s="27">
        <v>2.4700000000000002</v>
      </c>
      <c r="J37" s="23">
        <v>10</v>
      </c>
      <c r="K37" s="23">
        <v>34</v>
      </c>
      <c r="S37" s="32"/>
      <c r="T37" s="38" t="s">
        <v>143</v>
      </c>
      <c r="U37" s="38">
        <f>COUNTIF(K10:K19,"&gt;=20")+COUNTIF(K21:K30,"&gt;=20")+COUNTIF(K32:K42,"&gt;=20")</f>
        <v>5</v>
      </c>
      <c r="V37" s="32"/>
    </row>
    <row r="38" spans="1:22" x14ac:dyDescent="0.4">
      <c r="A38" s="31">
        <v>27</v>
      </c>
      <c r="B38" s="30">
        <v>0.6</v>
      </c>
      <c r="C38" s="23">
        <v>-7</v>
      </c>
      <c r="D38" s="23">
        <f t="shared" si="6"/>
        <v>7.6</v>
      </c>
      <c r="E38" s="29">
        <v>-2.5499999999999998</v>
      </c>
      <c r="F38" s="28">
        <v>14</v>
      </c>
      <c r="G38" s="23">
        <v>11.6</v>
      </c>
      <c r="H38" s="23">
        <f t="shared" si="7"/>
        <v>107.4</v>
      </c>
      <c r="I38" s="27">
        <v>0</v>
      </c>
      <c r="J38" s="23">
        <v>12</v>
      </c>
      <c r="K38" s="23">
        <v>38</v>
      </c>
      <c r="L38" t="s">
        <v>234</v>
      </c>
      <c r="T38" s="37" t="s">
        <v>142</v>
      </c>
      <c r="U38" s="37">
        <f>COUNTIF(K10:K19,"&gt;=30")+COUNTIF(K21:K30,"&gt;=30")+COUNTIF(K32:K42,"&gt;=30")</f>
        <v>4</v>
      </c>
    </row>
    <row r="39" spans="1:22" x14ac:dyDescent="0.4">
      <c r="A39" s="31">
        <v>28</v>
      </c>
      <c r="B39" s="30">
        <v>6.8</v>
      </c>
      <c r="C39" s="23">
        <v>0.6</v>
      </c>
      <c r="D39" s="23">
        <f t="shared" si="6"/>
        <v>6.2</v>
      </c>
      <c r="E39" s="29">
        <v>3.9</v>
      </c>
      <c r="F39" s="28">
        <v>48</v>
      </c>
      <c r="G39" s="23">
        <v>15.4</v>
      </c>
      <c r="H39" s="23">
        <f t="shared" si="7"/>
        <v>122.80000000000001</v>
      </c>
      <c r="I39" s="27">
        <v>0</v>
      </c>
      <c r="J39" s="23">
        <v>8</v>
      </c>
      <c r="K39" s="23">
        <v>30</v>
      </c>
      <c r="T39" s="36" t="s">
        <v>141</v>
      </c>
      <c r="U39" s="36">
        <f>COUNTIF(K10:K19,"&gt;=40")+COUNTIF(K21:K30,"&gt;=40")+COUNTIF(K32:K42,"&gt;=40")</f>
        <v>0</v>
      </c>
    </row>
    <row r="40" spans="1:22" x14ac:dyDescent="0.4">
      <c r="A40" s="31">
        <v>29</v>
      </c>
      <c r="B40" s="30">
        <v>6.8</v>
      </c>
      <c r="C40" s="23">
        <v>2.7</v>
      </c>
      <c r="D40" s="23">
        <f t="shared" si="6"/>
        <v>4.0999999999999996</v>
      </c>
      <c r="E40" s="29">
        <v>4.5199999999999996</v>
      </c>
      <c r="F40" s="28">
        <v>61</v>
      </c>
      <c r="G40" s="23">
        <v>37</v>
      </c>
      <c r="H40" s="23">
        <f t="shared" si="7"/>
        <v>159.80000000000001</v>
      </c>
      <c r="I40" s="27">
        <v>0.4</v>
      </c>
      <c r="J40" s="23">
        <v>0</v>
      </c>
      <c r="K40" s="23">
        <v>8</v>
      </c>
      <c r="T40" s="35" t="s">
        <v>140</v>
      </c>
      <c r="U40" s="35">
        <f>COUNTIF(K10:K19,"&gt;=50")+COUNTIF(K21:K30,"&gt;=50")+COUNTIF(K32:K42,"&gt;=50")</f>
        <v>0</v>
      </c>
    </row>
    <row r="41" spans="1:22" x14ac:dyDescent="0.4">
      <c r="A41" s="31">
        <v>30</v>
      </c>
      <c r="B41" s="30">
        <v>3.7</v>
      </c>
      <c r="C41" s="23">
        <v>1.8</v>
      </c>
      <c r="D41" s="23">
        <f t="shared" si="6"/>
        <v>1.9000000000000001</v>
      </c>
      <c r="E41" s="29">
        <v>2.74</v>
      </c>
      <c r="F41" s="28">
        <v>35</v>
      </c>
      <c r="G41" s="23">
        <v>9</v>
      </c>
      <c r="H41" s="23">
        <f t="shared" si="7"/>
        <v>168.8</v>
      </c>
      <c r="I41" s="27">
        <v>0</v>
      </c>
      <c r="J41" s="23">
        <v>0</v>
      </c>
      <c r="K41" s="23">
        <v>1</v>
      </c>
      <c r="T41" s="34" t="s">
        <v>139</v>
      </c>
      <c r="U41" s="34">
        <f>COUNTIF(K10:K19,"&gt;=75")+COUNTIF(K21:K30,"&gt;=75")+COUNTIF(K32:K42,"&gt;=75")</f>
        <v>0</v>
      </c>
    </row>
    <row r="42" spans="1:22" x14ac:dyDescent="0.4">
      <c r="A42" s="26">
        <v>31</v>
      </c>
      <c r="B42" s="25">
        <v>4.8</v>
      </c>
      <c r="C42" s="21">
        <v>1.6</v>
      </c>
      <c r="D42" s="21">
        <f t="shared" si="6"/>
        <v>3.1999999999999997</v>
      </c>
      <c r="E42" s="21">
        <v>2.92</v>
      </c>
      <c r="F42" s="24">
        <v>16</v>
      </c>
      <c r="G42" s="21">
        <v>0</v>
      </c>
      <c r="H42" s="23">
        <f t="shared" si="7"/>
        <v>168.8</v>
      </c>
      <c r="I42" s="22">
        <v>0.56999999999999995</v>
      </c>
      <c r="J42" s="21">
        <v>0</v>
      </c>
      <c r="K42" s="21">
        <v>0</v>
      </c>
      <c r="T42" s="33" t="s">
        <v>138</v>
      </c>
      <c r="U42" s="33">
        <f>COUNTIF(K10:K19,"&gt;=100")+COUNTIF(K21:K30,"&gt;=100")+COUNTIF(K32:K42,"&gt;=100")</f>
        <v>0</v>
      </c>
    </row>
    <row r="43" spans="1:22" x14ac:dyDescent="0.4">
      <c r="A43" s="20" t="s">
        <v>137</v>
      </c>
      <c r="B43" s="19">
        <f t="shared" ref="B43:G43" si="8">AVERAGE(B32:B42)</f>
        <v>2.8454545454545457</v>
      </c>
      <c r="C43" s="17">
        <f t="shared" si="8"/>
        <v>-1.5363636363636362</v>
      </c>
      <c r="D43" s="17">
        <f t="shared" si="8"/>
        <v>4.3818181818181818</v>
      </c>
      <c r="E43" s="17">
        <f t="shared" si="8"/>
        <v>0.76999999999999991</v>
      </c>
      <c r="F43" s="18">
        <f t="shared" si="8"/>
        <v>35.363636363636367</v>
      </c>
      <c r="G43" s="17">
        <f t="shared" si="8"/>
        <v>10.036363636363637</v>
      </c>
      <c r="H43" s="17">
        <f>SUM(H42-H30)</f>
        <v>110.4</v>
      </c>
      <c r="I43" s="16">
        <f>AVERAGE(I32:I42)</f>
        <v>0.76181818181818184</v>
      </c>
      <c r="J43" s="15">
        <f>SUM(J32:J42)</f>
        <v>62</v>
      </c>
      <c r="K43" s="15">
        <f>AVERAGE(K32:K42)</f>
        <v>17.727272727272727</v>
      </c>
    </row>
    <row r="44" spans="1:22" x14ac:dyDescent="0.4">
      <c r="A44" s="14" t="s">
        <v>136</v>
      </c>
      <c r="B44" s="13">
        <f t="shared" ref="B44:G44" si="9">AVERAGE(B10:B19,B21:B30,B32:B42)</f>
        <v>0.28709677419354845</v>
      </c>
      <c r="C44" s="9">
        <f t="shared" si="9"/>
        <v>-3.8193548387096778</v>
      </c>
      <c r="D44" s="9">
        <f t="shared" si="9"/>
        <v>4.1064516129032258</v>
      </c>
      <c r="E44" s="9">
        <f t="shared" si="9"/>
        <v>-1.65</v>
      </c>
      <c r="F44" s="12">
        <f t="shared" si="9"/>
        <v>24.93548387096774</v>
      </c>
      <c r="G44" s="9">
        <f t="shared" si="9"/>
        <v>5.4451612903225808</v>
      </c>
      <c r="H44" s="11">
        <f>MAX(H10:H19,H21:H30,H32:H42)</f>
        <v>168.8</v>
      </c>
      <c r="I44" s="10">
        <f>AVERAGE(I10:I19,I21:I30,I32:I42)</f>
        <v>1.2170967741935483</v>
      </c>
      <c r="J44" s="9">
        <f>SUM(J10:J19,J21:J30,J32:J42)</f>
        <v>97</v>
      </c>
      <c r="K44" s="9">
        <f>AVERAGE(K10:K19,K21:K30,K32:K42)</f>
        <v>13.193548387096774</v>
      </c>
    </row>
  </sheetData>
  <protectedRanges>
    <protectedRange sqref="B21:C30 B32:C42 Q16:R16 R13:R14 V8:V9 V12:V13 L1 W1 AM1 BC1 A3 B10:C19 R7:R9 E32:K42 E21:K30 V17 E10:K19" name="Bereich1"/>
  </protectedRanges>
  <mergeCells count="10">
    <mergeCell ref="B7:B9"/>
    <mergeCell ref="C7:C9"/>
    <mergeCell ref="B6:E6"/>
    <mergeCell ref="W1:AL1"/>
    <mergeCell ref="L1:V1"/>
    <mergeCell ref="AM1:BB1"/>
    <mergeCell ref="G6:H6"/>
    <mergeCell ref="A1:K1"/>
    <mergeCell ref="A3:K3"/>
    <mergeCell ref="J6:K6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4" manualBreakCount="4">
    <brk id="11" max="43" man="1"/>
    <brk id="22" max="43" man="1"/>
    <brk id="38" max="43" man="1"/>
    <brk id="53" max="4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27C73-993F-4097-AE14-818F4EDCE50A}">
  <dimension ref="A1:BB44"/>
  <sheetViews>
    <sheetView zoomScaleNormal="100" zoomScaleSheetLayoutView="100" workbookViewId="0">
      <selection activeCell="B10" sqref="B10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15" max="15" width="10.8203125" customWidth="1"/>
    <col min="21" max="21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1" t="s">
        <v>200</v>
      </c>
      <c r="K6" s="97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45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70"/>
      <c r="L7" s="32" t="s">
        <v>192</v>
      </c>
      <c r="M7" s="89" t="s">
        <v>100</v>
      </c>
      <c r="N7" s="57">
        <f>AVERAGE(B10:B19,B21:B30,B32:B42)</f>
        <v>12.43548387096774</v>
      </c>
      <c r="O7" s="56">
        <f>MAX(B10:B19,B21:B30,B32:B42)</f>
        <v>19</v>
      </c>
      <c r="P7" s="36">
        <f>MIN(B10:B19,B21:B30,B32:B42)</f>
        <v>7.9</v>
      </c>
      <c r="Q7" s="32"/>
      <c r="R7" s="34">
        <v>-1.06</v>
      </c>
      <c r="S7" s="63" t="s">
        <v>191</v>
      </c>
      <c r="T7" s="34" t="s">
        <v>190</v>
      </c>
      <c r="U7" s="34">
        <f>COUNTIF($C$10:$C$19,"&lt;=-10")+COUNTIF($C$21:$C$30,"&lt;=-10")+COUNTIF($C$32:$C$42,"&lt;=-10")</f>
        <v>0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AVERAGE(C10:C19,C21:C30,C32:C42)</f>
        <v>4.7612903225806438</v>
      </c>
      <c r="O8" s="56">
        <f>MAX(C10:C19,C21:C30,C32:C42)</f>
        <v>10.6</v>
      </c>
      <c r="P8" s="36">
        <f>MIN(C10:C19,C21:C30,C32:C42)</f>
        <v>0.7</v>
      </c>
      <c r="Q8" s="32"/>
      <c r="R8" s="34">
        <v>-0.04</v>
      </c>
      <c r="S8" s="63" t="s">
        <v>185</v>
      </c>
      <c r="T8" s="36" t="s">
        <v>184</v>
      </c>
      <c r="U8" s="36">
        <f>COUNTIF($B$10:$B$19,"&lt;=0")+COUNTIF($B$21:$B$30,"&lt;=0")+COUNTIF($B$32:$B$42,"&lt;=0")</f>
        <v>0</v>
      </c>
      <c r="V8" s="34">
        <v>-0.1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AVERAGE(E10:E19,E21:E30,E32:E42)</f>
        <v>8.1741935483870982</v>
      </c>
      <c r="O9" s="56">
        <f>MAX(E10:E19,E21:E30,E32:E42)</f>
        <v>14.4</v>
      </c>
      <c r="P9" s="36">
        <f>MIN(E10:E19,E21:E30,E32:E42)</f>
        <v>4.7</v>
      </c>
      <c r="Q9" s="32"/>
      <c r="R9" s="34">
        <v>-0.53</v>
      </c>
      <c r="S9" s="63" t="s">
        <v>177</v>
      </c>
      <c r="T9" s="37" t="s">
        <v>176</v>
      </c>
      <c r="U9" s="37">
        <f>COUNTIF($C$10:$C$19,"&lt;0")+COUNTIF($C$21:$C$30,"&lt;0")+COUNTIF($C$32:$C$42,"&lt;0")</f>
        <v>0</v>
      </c>
      <c r="V9" s="34">
        <v>-2.9</v>
      </c>
    </row>
    <row r="10" spans="1:54" x14ac:dyDescent="0.4">
      <c r="A10" s="31">
        <v>1</v>
      </c>
      <c r="B10" s="30">
        <v>17.8</v>
      </c>
      <c r="C10" s="23">
        <v>6.2</v>
      </c>
      <c r="D10" s="23">
        <f t="shared" ref="D10:D19" si="0">SUM(B10-C10)</f>
        <v>11.600000000000001</v>
      </c>
      <c r="E10" s="29">
        <v>11.5</v>
      </c>
      <c r="F10" s="28">
        <v>16</v>
      </c>
      <c r="G10" s="23">
        <v>0.2</v>
      </c>
      <c r="H10" s="23">
        <f>G10</f>
        <v>0.2</v>
      </c>
      <c r="I10" s="27">
        <v>8.15</v>
      </c>
      <c r="J10" s="23">
        <v>0</v>
      </c>
      <c r="K10" s="23">
        <v>0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COUNTIF($B$10:$B$19,"&lt;10")+COUNTIF($B$21:$B$30,"&lt;10")+COUNTIF($B$32:$B$42,"&lt;10")</f>
        <v>7</v>
      </c>
      <c r="V10" s="32"/>
    </row>
    <row r="11" spans="1:54" x14ac:dyDescent="0.4">
      <c r="A11" s="31">
        <v>2</v>
      </c>
      <c r="B11" s="30">
        <v>19</v>
      </c>
      <c r="C11" s="23">
        <v>10.6</v>
      </c>
      <c r="D11" s="23">
        <f t="shared" si="0"/>
        <v>8.4</v>
      </c>
      <c r="E11" s="29">
        <v>14.4</v>
      </c>
      <c r="F11" s="28">
        <v>21</v>
      </c>
      <c r="G11" s="23">
        <v>0</v>
      </c>
      <c r="H11" s="23">
        <f t="shared" ref="H11:H19" si="1">H10+G11</f>
        <v>0.2</v>
      </c>
      <c r="I11" s="27">
        <v>7.2</v>
      </c>
      <c r="J11" s="23">
        <v>0</v>
      </c>
      <c r="K11" s="23">
        <v>0</v>
      </c>
      <c r="L11" s="32" t="s">
        <v>173</v>
      </c>
      <c r="M11" s="89" t="s">
        <v>102</v>
      </c>
      <c r="N11" s="57">
        <f>AVERAGE(F10:F19,F21:F30,F32:F42)</f>
        <v>21.580645161290324</v>
      </c>
      <c r="O11" s="56">
        <f>MAX(F10:F19,F21:F30,F32:F42)</f>
        <v>69</v>
      </c>
      <c r="P11" s="36">
        <f>MIN(F10:F19,F21:F30,F32:F42)</f>
        <v>7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COUNTIF($B$10:$B$19,"&gt;=20")+COUNTIF($B$21:$B$30,"&gt;=20")+COUNTIF($B$32:$B$42,"&gt;=20")</f>
        <v>0</v>
      </c>
      <c r="V11" s="32"/>
    </row>
    <row r="12" spans="1:54" x14ac:dyDescent="0.4">
      <c r="A12" s="31">
        <v>3</v>
      </c>
      <c r="B12" s="30">
        <v>16.899999999999999</v>
      </c>
      <c r="C12" s="23">
        <v>9.6</v>
      </c>
      <c r="D12" s="23">
        <f t="shared" si="0"/>
        <v>7.2999999999999989</v>
      </c>
      <c r="E12" s="29">
        <v>13.4</v>
      </c>
      <c r="F12" s="28">
        <v>26</v>
      </c>
      <c r="G12" s="23">
        <v>4</v>
      </c>
      <c r="H12" s="23">
        <f t="shared" si="1"/>
        <v>4.2</v>
      </c>
      <c r="I12" s="27">
        <v>0.75</v>
      </c>
      <c r="J12" s="23">
        <v>0</v>
      </c>
      <c r="K12" s="23">
        <v>0</v>
      </c>
      <c r="L12" s="32"/>
      <c r="M12" s="32"/>
      <c r="N12" s="57"/>
      <c r="O12" s="56"/>
      <c r="P12" s="36"/>
      <c r="Q12" s="32"/>
      <c r="S12" s="63" t="s">
        <v>170</v>
      </c>
      <c r="T12" s="48" t="s">
        <v>169</v>
      </c>
      <c r="U12" s="48">
        <f>COUNTIF($B$10:$B$19,"&gt;=25")+COUNTIF($B$21:$B$30,"&gt;=25")+COUNTIF($B$32:$B$42,"&gt;=25")</f>
        <v>0</v>
      </c>
      <c r="V12" s="34">
        <v>0</v>
      </c>
    </row>
    <row r="13" spans="1:54" x14ac:dyDescent="0.4">
      <c r="A13" s="31">
        <v>4</v>
      </c>
      <c r="B13" s="30">
        <v>10.3</v>
      </c>
      <c r="C13" s="23">
        <v>7.2</v>
      </c>
      <c r="D13" s="23">
        <f t="shared" si="0"/>
        <v>3.1000000000000005</v>
      </c>
      <c r="E13" s="29">
        <v>8.6999999999999993</v>
      </c>
      <c r="F13" s="28">
        <v>13</v>
      </c>
      <c r="G13" s="23">
        <v>2</v>
      </c>
      <c r="H13" s="23">
        <f t="shared" si="1"/>
        <v>6.2</v>
      </c>
      <c r="I13" s="27">
        <v>0.15</v>
      </c>
      <c r="J13" s="23">
        <v>0</v>
      </c>
      <c r="K13" s="23">
        <v>0</v>
      </c>
      <c r="L13" s="32" t="s">
        <v>168</v>
      </c>
      <c r="M13" s="89" t="s">
        <v>104</v>
      </c>
      <c r="N13" s="57">
        <f>AVERAGE(G10:G19,G21:G30,G32:G42)</f>
        <v>1.1096774193548391</v>
      </c>
      <c r="O13" s="56">
        <f>MAX(G10:G19,G21:G30,G32:G42)</f>
        <v>8.6</v>
      </c>
      <c r="P13" s="36">
        <f>MIN(G10:G19,G21:G30,G32:G42)</f>
        <v>0</v>
      </c>
      <c r="Q13" s="32"/>
      <c r="S13" s="63" t="s">
        <v>167</v>
      </c>
      <c r="T13" s="55" t="s">
        <v>166</v>
      </c>
      <c r="U13" s="55">
        <f>COUNTIF($B$10:$B$19,"&gt;=30")+COUNTIF($B$21:$B$30,"&gt;=30")+COUNTIF($B$32:$B$42,"&gt;=30")</f>
        <v>0</v>
      </c>
      <c r="V13" s="34">
        <v>0</v>
      </c>
    </row>
    <row r="14" spans="1:54" x14ac:dyDescent="0.4">
      <c r="A14" s="31">
        <v>5</v>
      </c>
      <c r="B14" s="30">
        <v>12.4</v>
      </c>
      <c r="C14" s="23">
        <v>7</v>
      </c>
      <c r="D14" s="23">
        <f t="shared" si="0"/>
        <v>5.4</v>
      </c>
      <c r="E14" s="29">
        <v>9.1999999999999993</v>
      </c>
      <c r="F14" s="28">
        <v>39</v>
      </c>
      <c r="G14" s="23">
        <v>8.6</v>
      </c>
      <c r="H14" s="23">
        <f t="shared" si="1"/>
        <v>14.8</v>
      </c>
      <c r="I14" s="27">
        <v>0.6</v>
      </c>
      <c r="J14" s="23">
        <v>0</v>
      </c>
      <c r="K14" s="23">
        <v>0</v>
      </c>
      <c r="L14" s="32" t="s">
        <v>165</v>
      </c>
      <c r="M14" s="89" t="s">
        <v>104</v>
      </c>
      <c r="N14" s="64"/>
      <c r="O14" s="32"/>
      <c r="P14" s="32"/>
      <c r="Q14" s="40">
        <f>MAX(H10:H19,H21:H30,H32:H42)</f>
        <v>34.400000000000013</v>
      </c>
      <c r="R14" s="34">
        <v>-61.6</v>
      </c>
      <c r="S14" s="63" t="s">
        <v>164</v>
      </c>
      <c r="T14" s="59" t="s">
        <v>163</v>
      </c>
      <c r="U14" s="59">
        <f>COUNTIF($C$10:$C$19,"&gt;=20")+COUNTIF($C$21:$C$30,"&gt;=20")+COUNTIF($C$32:$C$42,"&gt;=20")</f>
        <v>0</v>
      </c>
      <c r="V14" s="60"/>
    </row>
    <row r="15" spans="1:54" x14ac:dyDescent="0.4">
      <c r="A15" s="31">
        <v>6</v>
      </c>
      <c r="B15" s="30">
        <v>9.6</v>
      </c>
      <c r="C15" s="23">
        <v>4.4000000000000004</v>
      </c>
      <c r="D15" s="23">
        <f t="shared" si="0"/>
        <v>5.1999999999999993</v>
      </c>
      <c r="E15" s="29">
        <v>6.5</v>
      </c>
      <c r="F15" s="28">
        <v>39</v>
      </c>
      <c r="G15" s="23">
        <v>4.2</v>
      </c>
      <c r="H15" s="23">
        <f t="shared" si="1"/>
        <v>19</v>
      </c>
      <c r="I15" s="27">
        <v>2.93</v>
      </c>
      <c r="J15" s="23">
        <v>0</v>
      </c>
      <c r="K15" s="23">
        <v>0</v>
      </c>
      <c r="L15" s="32"/>
      <c r="M15" s="32"/>
      <c r="N15" s="57"/>
      <c r="O15" s="56"/>
      <c r="P15" s="36"/>
      <c r="S15" s="32"/>
      <c r="T15" s="32"/>
      <c r="U15" s="32"/>
      <c r="V15" s="60"/>
    </row>
    <row r="16" spans="1:54" x14ac:dyDescent="0.4">
      <c r="A16" s="31">
        <v>7</v>
      </c>
      <c r="B16" s="30">
        <v>10.199999999999999</v>
      </c>
      <c r="C16" s="23">
        <v>4.8</v>
      </c>
      <c r="D16" s="23">
        <f t="shared" si="0"/>
        <v>5.3999999999999995</v>
      </c>
      <c r="E16" s="29">
        <v>7</v>
      </c>
      <c r="F16" s="28">
        <v>32</v>
      </c>
      <c r="G16" s="23">
        <v>3.4</v>
      </c>
      <c r="H16" s="23">
        <f t="shared" si="1"/>
        <v>22.4</v>
      </c>
      <c r="I16" s="27">
        <v>3.8</v>
      </c>
      <c r="J16" s="23">
        <v>0</v>
      </c>
      <c r="K16" s="23">
        <v>0</v>
      </c>
      <c r="L16" s="32" t="s">
        <v>162</v>
      </c>
      <c r="M16" s="89" t="s">
        <v>105</v>
      </c>
      <c r="N16" s="57">
        <f>AVERAGE(I10:I19,I21:I30,I32:I42)</f>
        <v>4.7274193548387089</v>
      </c>
      <c r="O16" s="62">
        <f>MAX(I10:I19,I21:I30,I32:I42)</f>
        <v>8.2799999999999994</v>
      </c>
      <c r="P16" s="61">
        <f>MIN(I10:I19,I21:I30,I32:I42)</f>
        <v>0</v>
      </c>
      <c r="Q16" s="94">
        <v>146.55000000000001</v>
      </c>
      <c r="R16" s="34">
        <v>27.55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10.6</v>
      </c>
      <c r="C17" s="23">
        <v>5.8</v>
      </c>
      <c r="D17" s="23">
        <f t="shared" si="0"/>
        <v>4.8</v>
      </c>
      <c r="E17" s="29">
        <v>7.8</v>
      </c>
      <c r="F17" s="28">
        <v>27</v>
      </c>
      <c r="G17" s="23">
        <v>0</v>
      </c>
      <c r="H17" s="23">
        <f t="shared" si="1"/>
        <v>22.4</v>
      </c>
      <c r="I17" s="27">
        <v>1.1499999999999999</v>
      </c>
      <c r="J17" s="23">
        <v>0</v>
      </c>
      <c r="K17" s="23">
        <v>0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COUNTIF(G10:G19,"&gt;=1")+COUNTIF(G21:G30,"&gt;=1")+COUNTIF(G32:G42,"&gt;=1")</f>
        <v>8</v>
      </c>
      <c r="V17" s="34">
        <v>-3.1</v>
      </c>
    </row>
    <row r="18" spans="1:22" x14ac:dyDescent="0.4">
      <c r="A18" s="31">
        <v>9</v>
      </c>
      <c r="B18" s="30">
        <v>8.4</v>
      </c>
      <c r="C18" s="23">
        <v>4.4000000000000004</v>
      </c>
      <c r="D18" s="23">
        <f t="shared" si="0"/>
        <v>4</v>
      </c>
      <c r="E18" s="29">
        <v>7</v>
      </c>
      <c r="F18" s="28">
        <v>14</v>
      </c>
      <c r="G18" s="23">
        <v>0</v>
      </c>
      <c r="H18" s="23">
        <f t="shared" si="1"/>
        <v>22.4</v>
      </c>
      <c r="I18" s="27">
        <v>0</v>
      </c>
      <c r="J18" s="23">
        <v>0</v>
      </c>
      <c r="K18" s="23">
        <v>0</v>
      </c>
      <c r="L18" s="32" t="s">
        <v>159</v>
      </c>
      <c r="M18" s="89" t="s">
        <v>108</v>
      </c>
      <c r="N18" s="57">
        <f>AVERAGE(J10:J19,J21:J30,J32:J42)</f>
        <v>0</v>
      </c>
      <c r="O18" s="56">
        <f>MAX(J10:J19,J21:J30,J32:J42)</f>
        <v>0</v>
      </c>
      <c r="P18" s="36">
        <f>MIN(J10:J19,J21:J30,J32:J42)</f>
        <v>0</v>
      </c>
      <c r="Q18" s="58">
        <f>SUM(J10:J19,J21:J30,J32:J42)</f>
        <v>0</v>
      </c>
      <c r="R18" s="32"/>
      <c r="S18" s="32"/>
      <c r="T18" s="85" t="s">
        <v>224</v>
      </c>
      <c r="U18" s="85">
        <f>COUNTIF(G10:G19,"&gt;=10")+COUNTIF(G21:G30,"&gt;=10")+COUNTIF(G32:G42,"&gt;=10")</f>
        <v>0</v>
      </c>
      <c r="V18" s="32"/>
    </row>
    <row r="19" spans="1:22" x14ac:dyDescent="0.4">
      <c r="A19" s="31">
        <v>10</v>
      </c>
      <c r="B19" s="30">
        <v>10.3</v>
      </c>
      <c r="C19" s="23">
        <v>3.1</v>
      </c>
      <c r="D19" s="23">
        <f t="shared" si="0"/>
        <v>7.2000000000000011</v>
      </c>
      <c r="E19" s="29">
        <v>5.9</v>
      </c>
      <c r="F19" s="28">
        <v>19</v>
      </c>
      <c r="G19" s="23">
        <v>0.2</v>
      </c>
      <c r="H19" s="23">
        <f t="shared" si="1"/>
        <v>22.599999999999998</v>
      </c>
      <c r="I19" s="27">
        <v>5.65</v>
      </c>
      <c r="J19" s="23">
        <v>0</v>
      </c>
      <c r="K19" s="23">
        <v>0</v>
      </c>
      <c r="L19" s="32" t="s">
        <v>157</v>
      </c>
      <c r="M19" s="89" t="s">
        <v>108</v>
      </c>
      <c r="N19" s="57">
        <f>AVERAGE(K10:K19,K21:K30,K32:K42)</f>
        <v>0</v>
      </c>
      <c r="O19" s="56">
        <f>MAX(K10:K19,K21:K30,K32:K42)</f>
        <v>0</v>
      </c>
      <c r="P19" s="36">
        <f>MIN(K10:K19,K21:K30,K32:K42)</f>
        <v>0</v>
      </c>
      <c r="S19" s="32"/>
      <c r="T19" s="86" t="s">
        <v>225</v>
      </c>
      <c r="U19" s="86">
        <f>COUNTIF(G10:G19,"&gt;=20")+COUNTIF(G21:G30,"&gt;=20")+COUNTIF(G32:G42,"&gt;=20")</f>
        <v>0</v>
      </c>
      <c r="V19" s="32"/>
    </row>
    <row r="20" spans="1:22" x14ac:dyDescent="0.4">
      <c r="A20" s="54" t="s">
        <v>155</v>
      </c>
      <c r="B20" s="53">
        <f t="shared" ref="B20:G20" si="2">AVERAGE(B10:B19)</f>
        <v>12.55</v>
      </c>
      <c r="C20" s="49">
        <f t="shared" si="2"/>
        <v>6.31</v>
      </c>
      <c r="D20" s="49">
        <f t="shared" si="2"/>
        <v>6.24</v>
      </c>
      <c r="E20" s="52">
        <f t="shared" si="2"/>
        <v>9.14</v>
      </c>
      <c r="F20" s="51">
        <f t="shared" si="2"/>
        <v>24.6</v>
      </c>
      <c r="G20" s="49">
        <f t="shared" si="2"/>
        <v>2.2599999999999998</v>
      </c>
      <c r="H20" s="49">
        <f>MAX(H10:H19)</f>
        <v>22.599999999999998</v>
      </c>
      <c r="I20" s="50">
        <f>AVERAGE(I10:I19)</f>
        <v>3.0380000000000003</v>
      </c>
      <c r="J20" s="49">
        <f>SUM(J10:J19)</f>
        <v>0</v>
      </c>
      <c r="K20" s="49">
        <f>AVERAGE(K10:K19)</f>
        <v>0</v>
      </c>
      <c r="Q20" s="32"/>
      <c r="R20" s="32"/>
      <c r="S20" s="32"/>
      <c r="T20" s="87" t="s">
        <v>226</v>
      </c>
      <c r="U20" s="87">
        <f>COUNTIF(G10:G19,"&gt;=50")+COUNTIF(G21:G30,"&gt;=50")+COUNTIF(G32:G42,"&gt;=50")</f>
        <v>0</v>
      </c>
      <c r="V20" s="32"/>
    </row>
    <row r="21" spans="1:22" x14ac:dyDescent="0.4">
      <c r="A21" s="31">
        <v>11</v>
      </c>
      <c r="B21" s="30">
        <v>11.7</v>
      </c>
      <c r="C21" s="23">
        <v>1.4</v>
      </c>
      <c r="D21" s="23">
        <f t="shared" ref="D21:D30" si="3">SUM(B21-C21)</f>
        <v>10.299999999999999</v>
      </c>
      <c r="E21" s="29">
        <v>5.9</v>
      </c>
      <c r="F21" s="28">
        <v>27</v>
      </c>
      <c r="G21" s="23">
        <v>0</v>
      </c>
      <c r="H21" s="23">
        <f>H19+G21</f>
        <v>22.599999999999998</v>
      </c>
      <c r="I21" s="27">
        <v>8.2799999999999994</v>
      </c>
      <c r="J21" s="23">
        <v>0</v>
      </c>
      <c r="K21" s="23">
        <v>0</v>
      </c>
      <c r="Q21" s="32"/>
      <c r="R21" s="32"/>
      <c r="S21" s="32"/>
      <c r="V21" s="32"/>
    </row>
    <row r="22" spans="1:22" x14ac:dyDescent="0.4">
      <c r="A22" s="31">
        <v>12</v>
      </c>
      <c r="B22" s="30">
        <v>8.5</v>
      </c>
      <c r="C22" s="23">
        <v>2.4</v>
      </c>
      <c r="D22" s="23">
        <f t="shared" si="3"/>
        <v>6.1</v>
      </c>
      <c r="E22" s="29">
        <v>5.6</v>
      </c>
      <c r="F22" s="28">
        <v>14</v>
      </c>
      <c r="G22" s="23">
        <v>0.6</v>
      </c>
      <c r="H22" s="23">
        <f t="shared" ref="H22:H30" si="4">H21+G22</f>
        <v>23.2</v>
      </c>
      <c r="I22" s="27">
        <v>0.5</v>
      </c>
      <c r="J22" s="23">
        <v>0</v>
      </c>
      <c r="K22" s="23">
        <v>0</v>
      </c>
      <c r="Q22" s="32"/>
      <c r="R22" s="32"/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7.9</v>
      </c>
      <c r="C23" s="23">
        <v>2.6</v>
      </c>
      <c r="D23" s="23">
        <f t="shared" si="3"/>
        <v>5.3000000000000007</v>
      </c>
      <c r="E23" s="29">
        <v>5.3</v>
      </c>
      <c r="F23" s="28">
        <v>26</v>
      </c>
      <c r="G23" s="23">
        <v>2.8</v>
      </c>
      <c r="H23" s="23">
        <f t="shared" si="4"/>
        <v>26</v>
      </c>
      <c r="I23" s="27">
        <v>3.6</v>
      </c>
      <c r="J23" s="23">
        <v>0</v>
      </c>
      <c r="K23" s="23">
        <v>0</v>
      </c>
      <c r="Q23" s="32"/>
      <c r="R23" s="32"/>
      <c r="S23" s="32"/>
      <c r="T23" s="59" t="s">
        <v>160</v>
      </c>
      <c r="U23" s="59">
        <f>COUNTIF($F$10:$F$19,"&gt;=61.8")+COUNTIF($F$21:$F$30,"&gt;=61.8")+COUNTIF($F$32:$F$42,"&gt;=61.8")</f>
        <v>1</v>
      </c>
      <c r="V23" s="32"/>
    </row>
    <row r="24" spans="1:22" x14ac:dyDescent="0.4">
      <c r="A24" s="31">
        <v>14</v>
      </c>
      <c r="B24" s="30">
        <v>10.8</v>
      </c>
      <c r="C24" s="23">
        <v>0.7</v>
      </c>
      <c r="D24" s="23">
        <f t="shared" si="3"/>
        <v>10.100000000000001</v>
      </c>
      <c r="E24" s="29">
        <v>4.9000000000000004</v>
      </c>
      <c r="F24" s="28">
        <v>14</v>
      </c>
      <c r="G24" s="23">
        <v>0</v>
      </c>
      <c r="H24" s="23">
        <f t="shared" si="4"/>
        <v>26</v>
      </c>
      <c r="I24" s="27">
        <v>7.73</v>
      </c>
      <c r="J24" s="23">
        <v>0</v>
      </c>
      <c r="K24" s="23">
        <v>0</v>
      </c>
      <c r="Q24" s="32"/>
      <c r="R24" s="32"/>
      <c r="S24" s="32"/>
      <c r="T24" s="56" t="s">
        <v>158</v>
      </c>
      <c r="U24" s="56">
        <f>COUNTIF($F$10:$F$19,"&gt;=49.9")+COUNTIF($F$21:$F$30,"&gt;=49.9")+COUNTIF($F$32:$F$42,"&gt;=49.9")-COUNTIF($F$10:$F$19,"&gt;61.7")-COUNTIF($F$21:$F$30,"&gt;61.7")-COUNTIF($F$32:$F$42,"&gt;61.7")</f>
        <v>0</v>
      </c>
      <c r="V24" s="32"/>
    </row>
    <row r="25" spans="1:22" x14ac:dyDescent="0.4">
      <c r="A25" s="31">
        <v>15</v>
      </c>
      <c r="B25" s="30">
        <v>13</v>
      </c>
      <c r="C25" s="23">
        <v>2.1</v>
      </c>
      <c r="D25" s="23">
        <f t="shared" si="3"/>
        <v>10.9</v>
      </c>
      <c r="E25" s="29">
        <v>7</v>
      </c>
      <c r="F25" s="28">
        <v>11</v>
      </c>
      <c r="G25" s="23">
        <v>0</v>
      </c>
      <c r="H25" s="23">
        <f t="shared" si="4"/>
        <v>26</v>
      </c>
      <c r="I25" s="27">
        <v>6.77</v>
      </c>
      <c r="J25" s="23">
        <v>0</v>
      </c>
      <c r="K25" s="23">
        <v>0</v>
      </c>
      <c r="Q25" s="32"/>
      <c r="R25" s="32"/>
      <c r="S25" s="32"/>
      <c r="T25" s="55" t="s">
        <v>156</v>
      </c>
      <c r="U25" s="55">
        <f>COUNTIF($F$10:$F$19,"&gt;=38.8")+COUNTIF($F$21:$F$30,"&gt;=38.8")+COUNTIF($F$32:$F$42,"&gt;=38.8")-COUNTIF($F$10:$F$19,"&gt;49.8")-COUNTIF($F$21:$F$30,"&gt;49.8")-COUNTIF($F$32:$F$42,"&gt;49.8")</f>
        <v>2</v>
      </c>
      <c r="V25" s="32"/>
    </row>
    <row r="26" spans="1:22" x14ac:dyDescent="0.4">
      <c r="A26" s="31">
        <v>16</v>
      </c>
      <c r="B26" s="30">
        <v>12.5</v>
      </c>
      <c r="C26" s="23">
        <v>3.8</v>
      </c>
      <c r="D26" s="23">
        <f t="shared" si="3"/>
        <v>8.6999999999999993</v>
      </c>
      <c r="E26" s="29">
        <v>7.5</v>
      </c>
      <c r="F26" s="28">
        <v>18</v>
      </c>
      <c r="G26" s="23">
        <v>0</v>
      </c>
      <c r="H26" s="23">
        <f t="shared" si="4"/>
        <v>26</v>
      </c>
      <c r="I26" s="27">
        <v>7.7</v>
      </c>
      <c r="J26" s="23">
        <v>0</v>
      </c>
      <c r="K26" s="23">
        <v>0</v>
      </c>
      <c r="Q26" s="32"/>
      <c r="R26" s="32"/>
      <c r="S26" s="32"/>
      <c r="T26" s="48" t="s">
        <v>154</v>
      </c>
      <c r="U26" s="48">
        <f>COUNTIF($F$10:$F$19,"&gt;=28.6")+COUNTIF($F$21:$F$30,"&gt;=28.6")+COUNTIF($F$32:$F$42,"&gt;=28.6")-COUNTIF($F$10:$F$19,"&gt;38.7")-COUNTIF($F$21:$F$30,"&gt;38.7")-COUNTIF($F$32:$F$42,"&gt;38.7")</f>
        <v>2</v>
      </c>
      <c r="V26" s="32"/>
    </row>
    <row r="27" spans="1:22" x14ac:dyDescent="0.4">
      <c r="A27" s="31">
        <v>17</v>
      </c>
      <c r="B27" s="30">
        <v>14.2</v>
      </c>
      <c r="C27" s="23">
        <v>4.0999999999999996</v>
      </c>
      <c r="D27" s="23">
        <f t="shared" si="3"/>
        <v>10.1</v>
      </c>
      <c r="E27" s="29">
        <v>8.1999999999999993</v>
      </c>
      <c r="F27" s="28">
        <v>14</v>
      </c>
      <c r="G27" s="23">
        <v>0.2</v>
      </c>
      <c r="H27" s="23">
        <f t="shared" si="4"/>
        <v>26.2</v>
      </c>
      <c r="I27" s="27">
        <v>7.82</v>
      </c>
      <c r="J27" s="23">
        <v>0</v>
      </c>
      <c r="K27" s="23">
        <v>0</v>
      </c>
      <c r="Q27" s="32"/>
      <c r="R27" s="32"/>
      <c r="S27" s="32"/>
      <c r="T27" s="47" t="s">
        <v>153</v>
      </c>
      <c r="U27" s="47">
        <f>COUNTIF($F$10:$F$19,"&gt;=19.5")+COUNTIF($F$21:$F$30,"&gt;=19.5")+COUNTIF($F$32:$F$42,"&gt;=19.5")-COUNTIF($F$10:$F$19,"&gt;28.5")-COUNTIF($F$21:$F$30,"&gt;28.5")-COUNTIF($F$32:$F$42,"&gt;28.5")</f>
        <v>8</v>
      </c>
      <c r="V27" s="32"/>
    </row>
    <row r="28" spans="1:22" x14ac:dyDescent="0.4">
      <c r="A28" s="31">
        <v>18</v>
      </c>
      <c r="B28" s="30">
        <v>16.100000000000001</v>
      </c>
      <c r="C28" s="23">
        <v>5.4</v>
      </c>
      <c r="D28" s="23">
        <f t="shared" si="3"/>
        <v>10.700000000000001</v>
      </c>
      <c r="E28" s="29">
        <v>10.1</v>
      </c>
      <c r="F28" s="28">
        <v>8</v>
      </c>
      <c r="G28" s="23">
        <v>0</v>
      </c>
      <c r="H28" s="23">
        <f t="shared" si="4"/>
        <v>26.2</v>
      </c>
      <c r="I28" s="27">
        <v>7.97</v>
      </c>
      <c r="J28" s="23">
        <v>0</v>
      </c>
      <c r="K28" s="23">
        <v>0</v>
      </c>
      <c r="S28" s="32"/>
      <c r="T28" s="46" t="s">
        <v>152</v>
      </c>
      <c r="U28" s="46">
        <f>COUNTIF($F$10:$F$19,"&gt;=12")+COUNTIF($F$21:$F$30,"&gt;=12")+COUNTIF($F$32:$F$42,"&gt;=12")-COUNTIF($F$10:$F$19,"&gt;19.4")-COUNTIF($F$21:$F$30,"&gt;19.4")-COUNTIF($F$32:$F$42,"&gt;19.4")</f>
        <v>14</v>
      </c>
      <c r="V28" s="32"/>
    </row>
    <row r="29" spans="1:22" x14ac:dyDescent="0.4">
      <c r="A29" s="31">
        <v>19</v>
      </c>
      <c r="B29" s="30">
        <v>17.100000000000001</v>
      </c>
      <c r="C29" s="23">
        <v>6.9</v>
      </c>
      <c r="D29" s="23">
        <f t="shared" si="3"/>
        <v>10.200000000000001</v>
      </c>
      <c r="E29" s="29">
        <v>11.2</v>
      </c>
      <c r="F29" s="28">
        <v>14</v>
      </c>
      <c r="G29" s="23">
        <v>0</v>
      </c>
      <c r="H29" s="23">
        <f t="shared" si="4"/>
        <v>26.2</v>
      </c>
      <c r="I29" s="27">
        <v>5.18</v>
      </c>
      <c r="J29" s="23">
        <v>0</v>
      </c>
      <c r="K29" s="23">
        <v>0</v>
      </c>
      <c r="S29" s="32"/>
      <c r="T29" s="32" t="s">
        <v>151</v>
      </c>
      <c r="U29" s="32">
        <f>COUNTIF($F$10:$F$19,"&lt;=11.9")+COUNTIF($F$21:$F$30,"&lt;=11.9")+COUNTIF($F$32:$F$42,"&lt;=11.9")</f>
        <v>4</v>
      </c>
      <c r="V29" s="32"/>
    </row>
    <row r="30" spans="1:22" x14ac:dyDescent="0.4">
      <c r="A30" s="31">
        <v>20</v>
      </c>
      <c r="B30" s="30">
        <v>16.399999999999999</v>
      </c>
      <c r="C30" s="23">
        <v>8.1999999999999993</v>
      </c>
      <c r="D30" s="23">
        <f t="shared" si="3"/>
        <v>8.1999999999999993</v>
      </c>
      <c r="E30" s="29">
        <v>11.8</v>
      </c>
      <c r="F30" s="28">
        <v>27</v>
      </c>
      <c r="G30" s="23">
        <v>0</v>
      </c>
      <c r="H30" s="23">
        <f t="shared" si="4"/>
        <v>26.2</v>
      </c>
      <c r="I30" s="27">
        <v>7.58</v>
      </c>
      <c r="J30" s="23">
        <v>0</v>
      </c>
      <c r="K30" s="23">
        <v>0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5">AVERAGE(B21:B30)</f>
        <v>12.820000000000002</v>
      </c>
      <c r="C31" s="17">
        <f t="shared" si="5"/>
        <v>3.7599999999999993</v>
      </c>
      <c r="D31" s="17">
        <f t="shared" si="5"/>
        <v>9.06</v>
      </c>
      <c r="E31" s="39">
        <f t="shared" si="5"/>
        <v>7.75</v>
      </c>
      <c r="F31" s="18">
        <f t="shared" si="5"/>
        <v>17.3</v>
      </c>
      <c r="G31" s="17">
        <f t="shared" si="5"/>
        <v>0.36</v>
      </c>
      <c r="H31" s="17">
        <f>SUM(H30-H19)</f>
        <v>3.6000000000000014</v>
      </c>
      <c r="I31" s="16">
        <f>AVERAGE(I21:I30)</f>
        <v>6.3129999999999997</v>
      </c>
      <c r="J31" s="17">
        <f>SUM(J21:J30)</f>
        <v>0</v>
      </c>
      <c r="K31" s="17">
        <f>AVERAGE(K21:K30)</f>
        <v>0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12.3</v>
      </c>
      <c r="C32" s="23">
        <v>7.4</v>
      </c>
      <c r="D32" s="23">
        <f t="shared" ref="D32:D42" si="6">SUM(B32-C32)</f>
        <v>4.9000000000000004</v>
      </c>
      <c r="E32" s="29">
        <v>10.3</v>
      </c>
      <c r="F32" s="28">
        <v>69</v>
      </c>
      <c r="G32" s="23">
        <v>6</v>
      </c>
      <c r="H32" s="23">
        <f>H30+G32</f>
        <v>32.200000000000003</v>
      </c>
      <c r="I32" s="27">
        <v>4.22</v>
      </c>
      <c r="J32" s="23">
        <v>0</v>
      </c>
      <c r="K32" s="23">
        <v>0</v>
      </c>
      <c r="S32" s="32"/>
      <c r="T32" s="44" t="s">
        <v>149</v>
      </c>
      <c r="U32" s="44">
        <f>COUNTIF(K10:K19,"&gt;0")+COUNTIF(K21:K30,"&gt;0")+COUNTIF(K32:K42,"&gt;0")</f>
        <v>0</v>
      </c>
      <c r="V32" s="32"/>
    </row>
    <row r="33" spans="1:22" x14ac:dyDescent="0.4">
      <c r="A33" s="31">
        <v>22</v>
      </c>
      <c r="B33" s="30">
        <v>8.6999999999999993</v>
      </c>
      <c r="C33" s="23">
        <v>3.6</v>
      </c>
      <c r="D33" s="23">
        <f t="shared" si="6"/>
        <v>5.0999999999999996</v>
      </c>
      <c r="E33" s="29">
        <v>6.8</v>
      </c>
      <c r="F33" s="28">
        <v>31</v>
      </c>
      <c r="G33" s="23">
        <v>0.2</v>
      </c>
      <c r="H33" s="23">
        <f t="shared" ref="H33:H42" si="7">H32+G33</f>
        <v>32.400000000000006</v>
      </c>
      <c r="I33" s="27">
        <v>0.42</v>
      </c>
      <c r="J33" s="23">
        <v>0</v>
      </c>
      <c r="K33" s="23">
        <v>0</v>
      </c>
      <c r="S33" s="32"/>
      <c r="T33" s="43" t="s">
        <v>148</v>
      </c>
      <c r="U33" s="43">
        <f>COUNTIF(K10:K19,"&gt;=1")+COUNTIF(K21:K30,"&gt;=1")+COUNTIF(K32:K42,"&gt;=1")</f>
        <v>0</v>
      </c>
      <c r="V33" s="32"/>
    </row>
    <row r="34" spans="1:22" x14ac:dyDescent="0.4">
      <c r="A34" s="31">
        <v>23</v>
      </c>
      <c r="B34" s="30">
        <v>8.8000000000000007</v>
      </c>
      <c r="C34" s="23">
        <v>1.1000000000000001</v>
      </c>
      <c r="D34" s="23">
        <f t="shared" si="6"/>
        <v>7.7000000000000011</v>
      </c>
      <c r="E34" s="29">
        <v>4.7</v>
      </c>
      <c r="F34" s="28">
        <v>23</v>
      </c>
      <c r="G34" s="23">
        <v>0</v>
      </c>
      <c r="H34" s="23">
        <f t="shared" si="7"/>
        <v>32.400000000000006</v>
      </c>
      <c r="I34" s="27">
        <v>7.27</v>
      </c>
      <c r="J34" s="23">
        <v>0</v>
      </c>
      <c r="K34" s="23">
        <v>0</v>
      </c>
      <c r="S34" s="32"/>
      <c r="T34" s="42" t="s">
        <v>147</v>
      </c>
      <c r="U34" s="42">
        <f>COUNTIF(K10:K19,"&gt;=5")+COUNTIF(K21:K30,"&gt;=5")+COUNTIF(K32:K42,"&gt;=5")</f>
        <v>0</v>
      </c>
      <c r="V34" s="32"/>
    </row>
    <row r="35" spans="1:22" x14ac:dyDescent="0.4">
      <c r="A35" s="31">
        <v>24</v>
      </c>
      <c r="B35" s="30">
        <v>13.8</v>
      </c>
      <c r="C35" s="23">
        <v>1.9</v>
      </c>
      <c r="D35" s="23">
        <f t="shared" si="6"/>
        <v>11.9</v>
      </c>
      <c r="E35" s="29">
        <v>6.5</v>
      </c>
      <c r="F35" s="28">
        <v>11</v>
      </c>
      <c r="G35" s="23">
        <v>0.2</v>
      </c>
      <c r="H35" s="23">
        <f t="shared" si="7"/>
        <v>32.600000000000009</v>
      </c>
      <c r="I35" s="27">
        <v>7.32</v>
      </c>
      <c r="J35" s="23">
        <v>0</v>
      </c>
      <c r="K35" s="23">
        <v>0</v>
      </c>
      <c r="S35" s="32"/>
      <c r="T35" s="41" t="s">
        <v>146</v>
      </c>
      <c r="U35" s="41">
        <f>COUNTIF(K10:K19,"&gt;=10")+COUNTIF(K21:K30,"&gt;=10")+COUNTIF(K32:K42,"&gt;=10")</f>
        <v>0</v>
      </c>
      <c r="V35" s="32"/>
    </row>
    <row r="36" spans="1:22" x14ac:dyDescent="0.4">
      <c r="A36" s="31">
        <v>25</v>
      </c>
      <c r="B36" s="30">
        <v>13.2</v>
      </c>
      <c r="C36" s="23">
        <v>4.5999999999999996</v>
      </c>
      <c r="D36" s="23">
        <f t="shared" si="6"/>
        <v>8.6</v>
      </c>
      <c r="E36" s="29">
        <v>8.3000000000000007</v>
      </c>
      <c r="F36" s="28">
        <v>19</v>
      </c>
      <c r="G36" s="23">
        <v>0</v>
      </c>
      <c r="H36" s="23">
        <f t="shared" si="7"/>
        <v>32.600000000000009</v>
      </c>
      <c r="I36" s="27">
        <v>6.5</v>
      </c>
      <c r="J36" s="23">
        <v>0</v>
      </c>
      <c r="K36" s="23">
        <v>0</v>
      </c>
      <c r="S36" s="32"/>
      <c r="T36" s="40" t="s">
        <v>145</v>
      </c>
      <c r="U36" s="40">
        <f>COUNTIF(K10:K19,"&gt;=15")+COUNTIF(K21:K30,"&gt;=15")+COUNTIF(K32:K42,"&gt;=15")</f>
        <v>0</v>
      </c>
      <c r="V36" s="32"/>
    </row>
    <row r="37" spans="1:22" x14ac:dyDescent="0.4">
      <c r="A37" s="31">
        <v>26</v>
      </c>
      <c r="B37" s="30">
        <v>12.4</v>
      </c>
      <c r="C37" s="23">
        <v>6</v>
      </c>
      <c r="D37" s="23">
        <f t="shared" si="6"/>
        <v>6.4</v>
      </c>
      <c r="E37" s="29">
        <v>8.4</v>
      </c>
      <c r="F37" s="28">
        <v>19</v>
      </c>
      <c r="G37" s="23">
        <v>0</v>
      </c>
      <c r="H37" s="23">
        <f t="shared" si="7"/>
        <v>32.600000000000009</v>
      </c>
      <c r="I37" s="27">
        <v>2.63</v>
      </c>
      <c r="J37" s="23">
        <v>0</v>
      </c>
      <c r="K37" s="23">
        <v>0</v>
      </c>
      <c r="S37" s="32"/>
      <c r="T37" s="38" t="s">
        <v>143</v>
      </c>
      <c r="U37" s="38">
        <f>COUNTIF(K10:K19,"&gt;=20")+COUNTIF(K21:K30,"&gt;=20")+COUNTIF(K32:K42,"&gt;=20")</f>
        <v>0</v>
      </c>
      <c r="V37" s="32"/>
    </row>
    <row r="38" spans="1:22" x14ac:dyDescent="0.4">
      <c r="A38" s="31">
        <v>27</v>
      </c>
      <c r="B38" s="30">
        <v>11.5</v>
      </c>
      <c r="C38" s="23">
        <v>4.4000000000000004</v>
      </c>
      <c r="D38" s="23">
        <f t="shared" si="6"/>
        <v>7.1</v>
      </c>
      <c r="E38" s="29">
        <v>6.9</v>
      </c>
      <c r="F38" s="28">
        <v>16</v>
      </c>
      <c r="G38" s="23">
        <v>0.4</v>
      </c>
      <c r="H38" s="23">
        <f t="shared" si="7"/>
        <v>33.000000000000007</v>
      </c>
      <c r="I38" s="27">
        <v>6.53</v>
      </c>
      <c r="J38" s="23">
        <v>0</v>
      </c>
      <c r="K38" s="23">
        <v>0</v>
      </c>
      <c r="T38" s="37" t="s">
        <v>142</v>
      </c>
      <c r="U38" s="37">
        <f>COUNTIF(K10:K19,"&gt;=30")+COUNTIF(K21:K30,"&gt;=30")+COUNTIF(K32:K42,"&gt;=30")</f>
        <v>0</v>
      </c>
    </row>
    <row r="39" spans="1:22" x14ac:dyDescent="0.4">
      <c r="A39" s="31">
        <v>28</v>
      </c>
      <c r="B39" s="30">
        <v>12.7</v>
      </c>
      <c r="C39" s="23">
        <v>2.7</v>
      </c>
      <c r="D39" s="23">
        <f t="shared" si="6"/>
        <v>10</v>
      </c>
      <c r="E39" s="29">
        <v>6.7</v>
      </c>
      <c r="F39" s="28">
        <v>7</v>
      </c>
      <c r="G39" s="23">
        <v>0.2</v>
      </c>
      <c r="H39" s="23">
        <f t="shared" si="7"/>
        <v>33.20000000000001</v>
      </c>
      <c r="I39" s="27">
        <v>6.23</v>
      </c>
      <c r="J39" s="23">
        <v>0</v>
      </c>
      <c r="K39" s="23">
        <v>0</v>
      </c>
      <c r="T39" s="36" t="s">
        <v>141</v>
      </c>
      <c r="U39" s="36">
        <f>COUNTIF(K10:K19,"&gt;=40")+COUNTIF(K21:K30,"&gt;=40")+COUNTIF(K32:K42,"&gt;=40")</f>
        <v>0</v>
      </c>
    </row>
    <row r="40" spans="1:22" x14ac:dyDescent="0.4">
      <c r="A40" s="31">
        <v>29</v>
      </c>
      <c r="B40" s="30">
        <v>14.4</v>
      </c>
      <c r="C40" s="23">
        <v>4.2</v>
      </c>
      <c r="D40" s="23">
        <f t="shared" si="6"/>
        <v>10.199999999999999</v>
      </c>
      <c r="E40" s="29">
        <v>8.1999999999999993</v>
      </c>
      <c r="F40" s="28">
        <v>13</v>
      </c>
      <c r="G40" s="23">
        <v>0</v>
      </c>
      <c r="H40" s="23">
        <f t="shared" si="7"/>
        <v>33.20000000000001</v>
      </c>
      <c r="I40" s="27">
        <v>6.07</v>
      </c>
      <c r="J40" s="23">
        <v>0</v>
      </c>
      <c r="K40" s="23">
        <v>0</v>
      </c>
      <c r="T40" s="35" t="s">
        <v>140</v>
      </c>
      <c r="U40" s="35">
        <f>COUNTIF(K10:K19,"&gt;=50")+COUNTIF(K21:K30,"&gt;=50")+COUNTIF(K32:K42,"&gt;=50")</f>
        <v>0</v>
      </c>
    </row>
    <row r="41" spans="1:22" x14ac:dyDescent="0.4">
      <c r="A41" s="31">
        <v>30</v>
      </c>
      <c r="B41" s="30">
        <v>9.9</v>
      </c>
      <c r="C41" s="23">
        <v>5.3</v>
      </c>
      <c r="D41" s="23">
        <f t="shared" si="6"/>
        <v>4.6000000000000005</v>
      </c>
      <c r="E41" s="29">
        <v>7.9</v>
      </c>
      <c r="F41" s="28">
        <v>24</v>
      </c>
      <c r="G41" s="23">
        <v>0.2</v>
      </c>
      <c r="H41" s="23">
        <f t="shared" si="7"/>
        <v>33.400000000000013</v>
      </c>
      <c r="I41" s="27">
        <v>0.03</v>
      </c>
      <c r="J41" s="23">
        <v>0</v>
      </c>
      <c r="K41" s="23">
        <v>0</v>
      </c>
      <c r="T41" s="34" t="s">
        <v>139</v>
      </c>
      <c r="U41" s="34">
        <f>COUNTIF(K10:K19,"&gt;=75")+COUNTIF(K21:K30,"&gt;=75")+COUNTIF(K32:K42,"&gt;=75")</f>
        <v>0</v>
      </c>
    </row>
    <row r="42" spans="1:22" x14ac:dyDescent="0.4">
      <c r="A42" s="26">
        <v>31</v>
      </c>
      <c r="B42" s="25">
        <v>14.1</v>
      </c>
      <c r="C42" s="21">
        <v>5.7</v>
      </c>
      <c r="D42" s="21">
        <f t="shared" si="6"/>
        <v>8.3999999999999986</v>
      </c>
      <c r="E42" s="21">
        <v>9.8000000000000007</v>
      </c>
      <c r="F42" s="24">
        <v>18</v>
      </c>
      <c r="G42" s="21">
        <v>1</v>
      </c>
      <c r="H42" s="23">
        <f t="shared" si="7"/>
        <v>34.400000000000013</v>
      </c>
      <c r="I42" s="22">
        <v>5.82</v>
      </c>
      <c r="J42" s="21">
        <v>0</v>
      </c>
      <c r="K42" s="21">
        <v>0</v>
      </c>
      <c r="T42" s="33" t="s">
        <v>138</v>
      </c>
      <c r="U42" s="33">
        <f>COUNTIF(K10:K19,"&gt;=100")+COUNTIF(K21:K30,"&gt;=100")+COUNTIF(K32:K42,"&gt;=100")</f>
        <v>0</v>
      </c>
    </row>
    <row r="43" spans="1:22" x14ac:dyDescent="0.4">
      <c r="A43" s="20" t="s">
        <v>137</v>
      </c>
      <c r="B43" s="19">
        <f t="shared" ref="B43:G43" si="8">AVERAGE(B32:B42)</f>
        <v>11.981818181818182</v>
      </c>
      <c r="C43" s="17">
        <f t="shared" si="8"/>
        <v>4.2636363636363637</v>
      </c>
      <c r="D43" s="17">
        <f t="shared" si="8"/>
        <v>7.7181818181818187</v>
      </c>
      <c r="E43" s="17">
        <f t="shared" si="8"/>
        <v>7.6818181818181817</v>
      </c>
      <c r="F43" s="18">
        <f t="shared" si="8"/>
        <v>22.727272727272727</v>
      </c>
      <c r="G43" s="17">
        <f t="shared" si="8"/>
        <v>0.74545454545454559</v>
      </c>
      <c r="H43" s="17">
        <f>SUM(H42-H30)</f>
        <v>8.2000000000000135</v>
      </c>
      <c r="I43" s="16">
        <f>AVERAGE(I32:I42)</f>
        <v>4.8218181818181822</v>
      </c>
      <c r="J43" s="15">
        <f>SUM(J32:J42)</f>
        <v>0</v>
      </c>
      <c r="K43" s="15">
        <f>AVERAGE(K32:K42)</f>
        <v>0</v>
      </c>
    </row>
    <row r="44" spans="1:22" x14ac:dyDescent="0.4">
      <c r="A44" s="14" t="s">
        <v>136</v>
      </c>
      <c r="B44" s="13">
        <f t="shared" ref="B44:G44" si="9">AVERAGE(B10:B19,B21:B30,B32:B42)</f>
        <v>12.43548387096774</v>
      </c>
      <c r="C44" s="9">
        <f t="shared" si="9"/>
        <v>4.7612903225806438</v>
      </c>
      <c r="D44" s="9">
        <f t="shared" si="9"/>
        <v>7.6741935483870956</v>
      </c>
      <c r="E44" s="9">
        <f t="shared" si="9"/>
        <v>8.1741935483870982</v>
      </c>
      <c r="F44" s="12">
        <f t="shared" si="9"/>
        <v>21.580645161290324</v>
      </c>
      <c r="G44" s="9">
        <f t="shared" si="9"/>
        <v>1.1096774193548391</v>
      </c>
      <c r="H44" s="11">
        <f>MAX(H10:H19,H21:H30,H32:H42)</f>
        <v>34.400000000000013</v>
      </c>
      <c r="I44" s="10">
        <f>AVERAGE(I10:I19,I21:I30,I32:I42)</f>
        <v>4.7274193548387089</v>
      </c>
      <c r="J44" s="9">
        <f>SUM(J10:J19,J21:J30,J32:J42)</f>
        <v>0</v>
      </c>
      <c r="K44" s="9">
        <f>AVERAGE(K10:K19,K21:K30,K32:K42)</f>
        <v>0</v>
      </c>
    </row>
  </sheetData>
  <protectedRanges>
    <protectedRange sqref="B21:C30 B32:C42 R16 V17 V8:V9 V12:V13 W1 AM1 BC1 A3 B10:C19 R7:R9 R14 E10:K19 E21:K30 E32:K42" name="Bereich1"/>
    <protectedRange sqref="L1" name="Bereich1_1"/>
    <protectedRange sqref="Q16" name="Bereich1_2"/>
  </protectedRanges>
  <mergeCells count="10">
    <mergeCell ref="B7:B9"/>
    <mergeCell ref="C7:C9"/>
    <mergeCell ref="A1:K1"/>
    <mergeCell ref="L1:V1"/>
    <mergeCell ref="W1:AL1"/>
    <mergeCell ref="AM1:BB1"/>
    <mergeCell ref="A3:K3"/>
    <mergeCell ref="B6:E6"/>
    <mergeCell ref="G6:H6"/>
    <mergeCell ref="J6:K6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4" manualBreakCount="4">
    <brk id="11" max="43" man="1"/>
    <brk id="22" max="43" man="1"/>
    <brk id="38" max="43" man="1"/>
    <brk id="53" max="43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03111-9724-4076-949B-EFFBD626D68C}">
  <dimension ref="A1:BB43"/>
  <sheetViews>
    <sheetView zoomScaleNormal="100" zoomScaleSheetLayoutView="100" workbookViewId="0">
      <selection activeCell="B10" sqref="B10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20" max="20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1" t="s">
        <v>200</v>
      </c>
      <c r="K6" s="97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32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26"/>
      <c r="L7" s="32" t="s">
        <v>192</v>
      </c>
      <c r="M7" s="89" t="s">
        <v>100</v>
      </c>
      <c r="N7" s="57">
        <f>AVERAGE(B10:B19,B21:B30,B32:B41)</f>
        <v>5.0866666666666651</v>
      </c>
      <c r="O7" s="56">
        <f>MAX(B10:B19,B21:B30,B32:B41)</f>
        <v>12.3</v>
      </c>
      <c r="P7" s="36">
        <f>MIN(B10:B19,B21:B30,B32:B41)</f>
        <v>-0.7</v>
      </c>
      <c r="Q7" s="32"/>
      <c r="R7" s="34">
        <v>-2.11</v>
      </c>
      <c r="S7" s="63" t="s">
        <v>191</v>
      </c>
      <c r="T7" s="34" t="s">
        <v>190</v>
      </c>
      <c r="U7" s="34">
        <f>COUNTIF($C$10:$C$19,"&lt;=-10")+COUNTIF($C$21:$C$30,"&lt;=-10")+COUNTIF($C$32:$C$41,"&lt;=-10")</f>
        <v>0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AVERAGE(C10:C19,C21:C30,C32:C41)</f>
        <v>5.6666666666666789E-2</v>
      </c>
      <c r="O8" s="56">
        <f>MAX(C10:C19,C21:C30,C32:C41)</f>
        <v>4.0999999999999996</v>
      </c>
      <c r="P8" s="36">
        <f>MIN(C10:C19,C21:C30,C32:C41)</f>
        <v>-5.8</v>
      </c>
      <c r="Q8" s="32"/>
      <c r="R8" s="34">
        <v>-0.04</v>
      </c>
      <c r="S8" s="63" t="s">
        <v>185</v>
      </c>
      <c r="T8" s="36" t="s">
        <v>184</v>
      </c>
      <c r="U8" s="36">
        <f>COUNTIF($B$10:$B$19,"&lt;=0")+COUNTIF($B$21:$B$30,"&lt;=0")+COUNTIF($B$32:$B$41,"&lt;=0")</f>
        <v>1</v>
      </c>
      <c r="V8" s="34">
        <v>-0.6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AVERAGE(E10:E19,E21:E30,E32:E41)</f>
        <v>2.2699999999999991</v>
      </c>
      <c r="O9" s="56">
        <f>MAX(E10:E19,E21:E30,E32:E41)</f>
        <v>7.1</v>
      </c>
      <c r="P9" s="36">
        <f>MIN(E10:E19,E21:E30,E32:E41)</f>
        <v>-2.8</v>
      </c>
      <c r="Q9" s="32"/>
      <c r="R9" s="34">
        <v>-1.1299999999999999</v>
      </c>
      <c r="S9" s="63" t="s">
        <v>177</v>
      </c>
      <c r="T9" s="37" t="s">
        <v>176</v>
      </c>
      <c r="U9" s="37">
        <f>COUNTIF($C$10:$C$19,"&lt;0")+COUNTIF($C$21:$C$30,"&lt;0")+COUNTIF($C$32:$C$41,"&lt;0")</f>
        <v>13</v>
      </c>
      <c r="V9" s="34">
        <v>-0.4</v>
      </c>
    </row>
    <row r="10" spans="1:54" x14ac:dyDescent="0.4">
      <c r="A10" s="31">
        <v>1</v>
      </c>
      <c r="B10" s="30">
        <v>10.5</v>
      </c>
      <c r="C10" s="23">
        <v>3</v>
      </c>
      <c r="D10" s="23">
        <f t="shared" ref="D10:D19" si="0">SUM(B10-C10)</f>
        <v>7.5</v>
      </c>
      <c r="E10" s="29">
        <v>7.1</v>
      </c>
      <c r="F10" s="28">
        <v>31</v>
      </c>
      <c r="G10" s="23">
        <v>16</v>
      </c>
      <c r="H10" s="23">
        <f>G10</f>
        <v>16</v>
      </c>
      <c r="I10" s="27">
        <v>7.0000000000000007E-2</v>
      </c>
      <c r="J10" s="23">
        <v>0</v>
      </c>
      <c r="K10" s="23">
        <v>0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COUNTIF($B$10:$B$19,"&lt;10")+COUNTIF($B$21:$B$30,"&lt;10")+COUNTIF($B$32:$B$41,"&lt;10")</f>
        <v>27</v>
      </c>
      <c r="V10" s="32"/>
    </row>
    <row r="11" spans="1:54" x14ac:dyDescent="0.4">
      <c r="A11" s="31">
        <v>2</v>
      </c>
      <c r="B11" s="30">
        <v>7.6</v>
      </c>
      <c r="C11" s="23">
        <v>2.7</v>
      </c>
      <c r="D11" s="23">
        <f t="shared" si="0"/>
        <v>4.8999999999999995</v>
      </c>
      <c r="E11" s="29">
        <v>4.4000000000000004</v>
      </c>
      <c r="F11" s="28">
        <v>44</v>
      </c>
      <c r="G11" s="23">
        <v>4.8</v>
      </c>
      <c r="H11" s="23">
        <f t="shared" ref="H11:H19" si="1">H10+G11</f>
        <v>20.8</v>
      </c>
      <c r="I11" s="27">
        <v>3.43</v>
      </c>
      <c r="J11" s="23">
        <v>0</v>
      </c>
      <c r="K11" s="23">
        <v>0</v>
      </c>
      <c r="L11" s="32" t="s">
        <v>173</v>
      </c>
      <c r="M11" s="89" t="s">
        <v>102</v>
      </c>
      <c r="N11" s="57">
        <f>AVERAGE(F10:F19,F21:F30,F32:F41)</f>
        <v>20.566666666666666</v>
      </c>
      <c r="O11" s="56">
        <f>MAX(F10:F19,F21:F30,F32:F41)</f>
        <v>47</v>
      </c>
      <c r="P11" s="36">
        <f>MIN(F10:F19,F21:F30,F32:F41)</f>
        <v>8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COUNTIF($B$10:$B$19,"&gt;=20")+COUNTIF($B$21:$B$30,"&gt;=20")+COUNTIF($B$32:$B$41,"&gt;=20")</f>
        <v>0</v>
      </c>
      <c r="V11" s="32"/>
    </row>
    <row r="12" spans="1:54" x14ac:dyDescent="0.4">
      <c r="A12" s="31">
        <v>3</v>
      </c>
      <c r="B12" s="30">
        <v>4.3</v>
      </c>
      <c r="C12" s="23">
        <v>1.7</v>
      </c>
      <c r="D12" s="23">
        <f t="shared" si="0"/>
        <v>2.5999999999999996</v>
      </c>
      <c r="E12" s="29">
        <v>3.3</v>
      </c>
      <c r="F12" s="28">
        <v>27</v>
      </c>
      <c r="G12" s="23">
        <v>3.4</v>
      </c>
      <c r="H12" s="23">
        <f t="shared" si="1"/>
        <v>24.2</v>
      </c>
      <c r="I12" s="27">
        <v>0</v>
      </c>
      <c r="J12" s="23">
        <v>0</v>
      </c>
      <c r="K12" s="23">
        <v>0</v>
      </c>
      <c r="L12" s="32"/>
      <c r="M12" s="32"/>
      <c r="N12" s="57"/>
      <c r="O12" s="56"/>
      <c r="P12" s="36"/>
      <c r="Q12" s="32"/>
      <c r="R12" s="32"/>
      <c r="S12" s="63" t="s">
        <v>170</v>
      </c>
      <c r="T12" s="48" t="s">
        <v>169</v>
      </c>
      <c r="U12" s="48">
        <f>COUNTIF($B$10:$B$19,"&gt;=25")+COUNTIF($B$21:$B$30,"&gt;=25")+COUNTIF($B$32:$B$41,"&gt;=25")</f>
        <v>0</v>
      </c>
      <c r="V12" s="34">
        <v>0</v>
      </c>
    </row>
    <row r="13" spans="1:54" x14ac:dyDescent="0.4">
      <c r="A13" s="31">
        <v>4</v>
      </c>
      <c r="B13" s="30">
        <v>4.3</v>
      </c>
      <c r="C13" s="23">
        <v>0.8</v>
      </c>
      <c r="D13" s="23">
        <f t="shared" si="0"/>
        <v>3.5</v>
      </c>
      <c r="E13" s="29">
        <v>2.2000000000000002</v>
      </c>
      <c r="F13" s="28">
        <v>29</v>
      </c>
      <c r="G13" s="23">
        <v>1.6</v>
      </c>
      <c r="H13" s="23">
        <f t="shared" si="1"/>
        <v>25.8</v>
      </c>
      <c r="I13" s="27">
        <v>0.9</v>
      </c>
      <c r="J13" s="23">
        <v>0</v>
      </c>
      <c r="K13" s="23">
        <v>0</v>
      </c>
      <c r="L13" s="32" t="s">
        <v>168</v>
      </c>
      <c r="M13" s="89" t="s">
        <v>104</v>
      </c>
      <c r="N13" s="57">
        <f>AVERAGE(G10:G19,G21:G30,G32:G41)</f>
        <v>1.6200000000000006</v>
      </c>
      <c r="O13" s="56">
        <f>MAX(G10:G19,G21:G30,G32:G41)</f>
        <v>16</v>
      </c>
      <c r="P13" s="36">
        <f>MIN(G10:G19,G21:G30,G32:G41)</f>
        <v>0</v>
      </c>
      <c r="Q13" s="32"/>
      <c r="S13" s="63" t="s">
        <v>167</v>
      </c>
      <c r="T13" s="55" t="s">
        <v>166</v>
      </c>
      <c r="U13" s="55">
        <f>COUNTIF($B$10:$B$19,"&gt;=30")+COUNTIF($B$21:$B$30,"&gt;=30")+COUNTIF($B$32:$B$41,"&gt;=30")</f>
        <v>0</v>
      </c>
      <c r="V13" s="34">
        <v>0</v>
      </c>
    </row>
    <row r="14" spans="1:54" x14ac:dyDescent="0.4">
      <c r="A14" s="31">
        <v>5</v>
      </c>
      <c r="B14" s="30">
        <v>6.6</v>
      </c>
      <c r="C14" s="23">
        <v>0.8</v>
      </c>
      <c r="D14" s="23">
        <f t="shared" si="0"/>
        <v>5.8</v>
      </c>
      <c r="E14" s="29">
        <v>2.7</v>
      </c>
      <c r="F14" s="28">
        <v>23</v>
      </c>
      <c r="G14" s="23">
        <v>0</v>
      </c>
      <c r="H14" s="23">
        <f t="shared" si="1"/>
        <v>25.8</v>
      </c>
      <c r="I14" s="27">
        <v>2.08</v>
      </c>
      <c r="J14" s="23">
        <v>0</v>
      </c>
      <c r="K14" s="23">
        <v>0</v>
      </c>
      <c r="L14" s="32" t="s">
        <v>165</v>
      </c>
      <c r="M14" s="89" t="s">
        <v>104</v>
      </c>
      <c r="N14" s="64"/>
      <c r="O14" s="32"/>
      <c r="P14" s="32"/>
      <c r="Q14" s="40">
        <f>MAX(H10:H19,H21:H30,H32:H41)</f>
        <v>48.600000000000016</v>
      </c>
      <c r="R14" s="34">
        <v>-36.4</v>
      </c>
      <c r="S14" s="63" t="s">
        <v>164</v>
      </c>
      <c r="T14" s="59" t="s">
        <v>163</v>
      </c>
      <c r="U14" s="59">
        <f>COUNTIF($C$10:$C$19,"&gt;=20")+COUNTIF($C$21:$C$30,"&gt;=20")+COUNTIF($C$32:$C$41,"&gt;=20")</f>
        <v>0</v>
      </c>
      <c r="V14" s="60"/>
    </row>
    <row r="15" spans="1:54" x14ac:dyDescent="0.4">
      <c r="A15" s="31">
        <v>6</v>
      </c>
      <c r="B15" s="30">
        <v>4.9000000000000004</v>
      </c>
      <c r="C15" s="23">
        <v>-0.9</v>
      </c>
      <c r="D15" s="23">
        <f t="shared" si="0"/>
        <v>5.8000000000000007</v>
      </c>
      <c r="E15" s="29">
        <v>1.5</v>
      </c>
      <c r="F15" s="28">
        <v>18</v>
      </c>
      <c r="G15" s="23">
        <v>0</v>
      </c>
      <c r="H15" s="23">
        <f t="shared" si="1"/>
        <v>25.8</v>
      </c>
      <c r="I15" s="27">
        <v>4.9800000000000004</v>
      </c>
      <c r="J15" s="23">
        <v>0</v>
      </c>
      <c r="K15" s="23">
        <v>0</v>
      </c>
      <c r="L15" s="32"/>
      <c r="M15" s="32"/>
      <c r="N15" s="57"/>
      <c r="O15" s="56"/>
      <c r="P15" s="36"/>
      <c r="Q15" s="32"/>
      <c r="R15" s="32"/>
      <c r="S15" s="32"/>
      <c r="T15" s="32"/>
      <c r="U15" s="32"/>
      <c r="V15" s="60"/>
    </row>
    <row r="16" spans="1:54" x14ac:dyDescent="0.4">
      <c r="A16" s="31">
        <v>7</v>
      </c>
      <c r="B16" s="30">
        <v>7.3</v>
      </c>
      <c r="C16" s="23">
        <v>-2.8</v>
      </c>
      <c r="D16" s="23">
        <f t="shared" si="0"/>
        <v>10.1</v>
      </c>
      <c r="E16" s="29">
        <v>2.4</v>
      </c>
      <c r="F16" s="28">
        <v>11</v>
      </c>
      <c r="G16" s="23">
        <v>0.2</v>
      </c>
      <c r="H16" s="23">
        <f t="shared" si="1"/>
        <v>26</v>
      </c>
      <c r="I16" s="27">
        <v>5.33</v>
      </c>
      <c r="J16" s="23">
        <v>0</v>
      </c>
      <c r="K16" s="23">
        <v>0</v>
      </c>
      <c r="L16" s="32" t="s">
        <v>162</v>
      </c>
      <c r="M16" s="89" t="s">
        <v>105</v>
      </c>
      <c r="N16" s="57">
        <f>AVERAGE(I10:I19,I21:I30,I32:I41)</f>
        <v>1.5796666666666668</v>
      </c>
      <c r="O16" s="62">
        <f>MAX(I10:I19,I21:I30,I32:I41)</f>
        <v>5.33</v>
      </c>
      <c r="P16" s="61">
        <f>MIN(I10:I19,I21:I30,I32:I41)</f>
        <v>0</v>
      </c>
      <c r="Q16" s="94">
        <v>47.4</v>
      </c>
      <c r="R16" s="34">
        <v>-18.600000000000001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5.2</v>
      </c>
      <c r="C17" s="23">
        <v>1.5</v>
      </c>
      <c r="D17" s="23">
        <f t="shared" si="0"/>
        <v>3.7</v>
      </c>
      <c r="E17" s="29">
        <v>3.5</v>
      </c>
      <c r="F17" s="28">
        <v>23</v>
      </c>
      <c r="G17" s="23">
        <v>0.2</v>
      </c>
      <c r="H17" s="23">
        <f t="shared" si="1"/>
        <v>26.2</v>
      </c>
      <c r="I17" s="27">
        <v>0.57999999999999996</v>
      </c>
      <c r="J17" s="23">
        <v>0</v>
      </c>
      <c r="K17" s="23">
        <v>0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COUNTIF(G10:G19,"&gt;=1")+COUNTIF(G21:G30,"&gt;=1")+COUNTIF(G32:G41,"&gt;=1")</f>
        <v>11</v>
      </c>
      <c r="V17" s="34">
        <v>-0.4</v>
      </c>
    </row>
    <row r="18" spans="1:22" x14ac:dyDescent="0.4">
      <c r="A18" s="31">
        <v>9</v>
      </c>
      <c r="B18" s="30">
        <v>4.3</v>
      </c>
      <c r="C18" s="23">
        <v>0.2</v>
      </c>
      <c r="D18" s="23">
        <f t="shared" si="0"/>
        <v>4.0999999999999996</v>
      </c>
      <c r="E18" s="29">
        <v>1.5</v>
      </c>
      <c r="F18" s="28">
        <v>16</v>
      </c>
      <c r="G18" s="23">
        <v>0</v>
      </c>
      <c r="H18" s="23">
        <f t="shared" si="1"/>
        <v>26.2</v>
      </c>
      <c r="I18" s="27">
        <v>3.27</v>
      </c>
      <c r="J18" s="23">
        <v>0</v>
      </c>
      <c r="K18" s="23">
        <v>0</v>
      </c>
      <c r="L18" s="32" t="s">
        <v>159</v>
      </c>
      <c r="M18" s="89" t="s">
        <v>108</v>
      </c>
      <c r="N18" s="57">
        <f>AVERAGE(J10:J19,J21:J30,J32:J41)</f>
        <v>0.7</v>
      </c>
      <c r="O18" s="56">
        <f>MAX(J10:J19,J21:J30,J32:J41)</f>
        <v>17</v>
      </c>
      <c r="P18" s="36">
        <f>MIN(J10:J19,J21:J30,J32:J41)</f>
        <v>0</v>
      </c>
      <c r="Q18" s="58">
        <f>SUM(J10:J19,J21:J30,J32:J41)</f>
        <v>21</v>
      </c>
      <c r="R18" s="32"/>
      <c r="S18" s="32"/>
      <c r="T18" s="85" t="s">
        <v>224</v>
      </c>
      <c r="U18" s="85">
        <f>COUNTIF(G10:G19,"&gt;=10")+COUNTIF(G21:G30,"&gt;=10")+COUNTIF(G32:G41,"&gt;=10")</f>
        <v>1</v>
      </c>
      <c r="V18" s="32"/>
    </row>
    <row r="19" spans="1:22" x14ac:dyDescent="0.4">
      <c r="A19" s="31">
        <v>10</v>
      </c>
      <c r="B19" s="30">
        <v>9.8000000000000007</v>
      </c>
      <c r="C19" s="23">
        <v>0.1</v>
      </c>
      <c r="D19" s="23">
        <f t="shared" si="0"/>
        <v>9.7000000000000011</v>
      </c>
      <c r="E19" s="29">
        <v>5</v>
      </c>
      <c r="F19" s="28">
        <v>18</v>
      </c>
      <c r="G19" s="23">
        <v>0</v>
      </c>
      <c r="H19" s="23">
        <f t="shared" si="1"/>
        <v>26.2</v>
      </c>
      <c r="I19" s="27">
        <v>0.35</v>
      </c>
      <c r="J19" s="23">
        <v>0</v>
      </c>
      <c r="K19" s="23">
        <v>0</v>
      </c>
      <c r="L19" s="32" t="s">
        <v>157</v>
      </c>
      <c r="M19" s="89" t="s">
        <v>108</v>
      </c>
      <c r="N19" s="57">
        <f>AVERAGE(K10:K19,K21:K30,K32:K41)</f>
        <v>1.4</v>
      </c>
      <c r="O19" s="56">
        <f>MAX(K10:K19,K21:K30,K32:K41)</f>
        <v>18</v>
      </c>
      <c r="P19" s="36">
        <f>MIN(K10:K19,K21:K30,K32:K41)</f>
        <v>0</v>
      </c>
      <c r="S19" s="32"/>
      <c r="T19" s="86" t="s">
        <v>225</v>
      </c>
      <c r="U19" s="86">
        <f>COUNTIF(G10:G19,"&gt;=20")+COUNTIF(G21:G30,"&gt;=20")+COUNTIF(G32:G41,"&gt;=20")</f>
        <v>0</v>
      </c>
      <c r="V19" s="32"/>
    </row>
    <row r="20" spans="1:22" x14ac:dyDescent="0.4">
      <c r="A20" s="54" t="s">
        <v>155</v>
      </c>
      <c r="B20" s="53">
        <f t="shared" ref="B20:G20" si="2">AVERAGE(B10:B19)</f>
        <v>6.4799999999999995</v>
      </c>
      <c r="C20" s="49">
        <f t="shared" si="2"/>
        <v>0.71000000000000019</v>
      </c>
      <c r="D20" s="49">
        <f t="shared" si="2"/>
        <v>5.7700000000000014</v>
      </c>
      <c r="E20" s="52">
        <f t="shared" si="2"/>
        <v>3.3599999999999994</v>
      </c>
      <c r="F20" s="51">
        <f t="shared" si="2"/>
        <v>24</v>
      </c>
      <c r="G20" s="49">
        <f t="shared" si="2"/>
        <v>2.62</v>
      </c>
      <c r="H20" s="49">
        <f>MAX(H10:H19)</f>
        <v>26.2</v>
      </c>
      <c r="I20" s="50">
        <f>AVERAGE(I10:I19)</f>
        <v>2.0989999999999998</v>
      </c>
      <c r="J20" s="49">
        <f>SUM(J10:J19)</f>
        <v>0</v>
      </c>
      <c r="K20" s="49">
        <f>AVERAGE(K10:K19)</f>
        <v>0</v>
      </c>
      <c r="S20" s="32"/>
      <c r="T20" s="87" t="s">
        <v>226</v>
      </c>
      <c r="U20" s="87">
        <f>COUNTIF(G10:G19,"&gt;=50")+COUNTIF(G21:G30,"&gt;=50")+COUNTIF(G32:G41,"&gt;=50")</f>
        <v>0</v>
      </c>
      <c r="V20" s="32"/>
    </row>
    <row r="21" spans="1:22" x14ac:dyDescent="0.4">
      <c r="A21" s="31">
        <v>11</v>
      </c>
      <c r="B21" s="30">
        <v>12.3</v>
      </c>
      <c r="C21" s="23">
        <v>3.5</v>
      </c>
      <c r="D21" s="23">
        <f t="shared" ref="D21:D30" si="3">SUM(B21-C21)</f>
        <v>8.8000000000000007</v>
      </c>
      <c r="E21" s="29">
        <v>7</v>
      </c>
      <c r="F21" s="28">
        <v>10</v>
      </c>
      <c r="G21" s="23">
        <v>0</v>
      </c>
      <c r="H21" s="23">
        <f>H19+G21</f>
        <v>26.2</v>
      </c>
      <c r="I21" s="27">
        <v>5.0199999999999996</v>
      </c>
      <c r="J21" s="23">
        <v>0</v>
      </c>
      <c r="K21" s="23">
        <v>0</v>
      </c>
      <c r="S21" s="32"/>
      <c r="V21" s="32"/>
    </row>
    <row r="22" spans="1:22" x14ac:dyDescent="0.4">
      <c r="A22" s="31">
        <v>12</v>
      </c>
      <c r="B22" s="30">
        <v>11.9</v>
      </c>
      <c r="C22" s="23">
        <v>4.0999999999999996</v>
      </c>
      <c r="D22" s="23">
        <f t="shared" si="3"/>
        <v>7.8000000000000007</v>
      </c>
      <c r="E22" s="29">
        <v>6.7</v>
      </c>
      <c r="F22" s="28">
        <v>10</v>
      </c>
      <c r="G22" s="23">
        <v>0</v>
      </c>
      <c r="H22" s="23">
        <f t="shared" ref="H22:H30" si="4">H21+G22</f>
        <v>26.2</v>
      </c>
      <c r="I22" s="27">
        <v>4.95</v>
      </c>
      <c r="J22" s="23">
        <v>0</v>
      </c>
      <c r="K22" s="23">
        <v>0</v>
      </c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7.9</v>
      </c>
      <c r="C23" s="23">
        <v>1.8</v>
      </c>
      <c r="D23" s="23">
        <f t="shared" si="3"/>
        <v>6.1000000000000005</v>
      </c>
      <c r="E23" s="29">
        <v>5.2</v>
      </c>
      <c r="F23" s="28">
        <v>18</v>
      </c>
      <c r="G23" s="23">
        <v>6</v>
      </c>
      <c r="H23" s="23">
        <f t="shared" si="4"/>
        <v>32.200000000000003</v>
      </c>
      <c r="I23" s="27">
        <v>0.38</v>
      </c>
      <c r="J23" s="23">
        <v>0</v>
      </c>
      <c r="K23" s="23">
        <v>0</v>
      </c>
      <c r="S23" s="32"/>
      <c r="T23" s="59" t="s">
        <v>160</v>
      </c>
      <c r="U23" s="59">
        <f>COUNTIF($F$10:$F$19,"&gt;=61.8")+COUNTIF($F$21:$F$30,"&gt;=61.8")+COUNTIF($F$32:$F$41,"&gt;=61.8")</f>
        <v>0</v>
      </c>
      <c r="V23" s="32"/>
    </row>
    <row r="24" spans="1:22" x14ac:dyDescent="0.4">
      <c r="A24" s="31">
        <v>14</v>
      </c>
      <c r="B24" s="30">
        <v>7.2</v>
      </c>
      <c r="C24" s="23">
        <v>3.8</v>
      </c>
      <c r="D24" s="23">
        <f t="shared" si="3"/>
        <v>3.4000000000000004</v>
      </c>
      <c r="E24" s="29">
        <v>5.0999999999999996</v>
      </c>
      <c r="F24" s="28">
        <v>23</v>
      </c>
      <c r="G24" s="23">
        <v>1</v>
      </c>
      <c r="H24" s="23">
        <f t="shared" si="4"/>
        <v>33.200000000000003</v>
      </c>
      <c r="I24" s="27">
        <v>1.75</v>
      </c>
      <c r="J24" s="23">
        <v>0</v>
      </c>
      <c r="K24" s="23">
        <v>0</v>
      </c>
      <c r="S24" s="32"/>
      <c r="T24" s="56" t="s">
        <v>158</v>
      </c>
      <c r="U24" s="56">
        <f>COUNTIF($F$10:$F$19,"&gt;=49.9")+COUNTIF($F$21:$F$30,"&gt;=49.9")+COUNTIF($F$32:$F$41,"&gt;=49.9")-COUNTIF($F$10:$F$19,"&gt;61.7")-COUNTIF($F$21:$F$30,"&gt;61.7")-COUNTIF($F$32:$F$41,"&gt;61.7")</f>
        <v>0</v>
      </c>
      <c r="V24" s="32"/>
    </row>
    <row r="25" spans="1:22" x14ac:dyDescent="0.4">
      <c r="A25" s="31">
        <v>15</v>
      </c>
      <c r="B25" s="30">
        <v>4.8</v>
      </c>
      <c r="C25" s="23">
        <v>2.7</v>
      </c>
      <c r="D25" s="23">
        <f t="shared" si="3"/>
        <v>2.0999999999999996</v>
      </c>
      <c r="E25" s="29">
        <v>3.7</v>
      </c>
      <c r="F25" s="28">
        <v>16</v>
      </c>
      <c r="G25" s="23">
        <v>0</v>
      </c>
      <c r="H25" s="23">
        <f t="shared" si="4"/>
        <v>33.200000000000003</v>
      </c>
      <c r="I25" s="27">
        <v>0</v>
      </c>
      <c r="J25" s="23">
        <v>0</v>
      </c>
      <c r="K25" s="23">
        <v>0</v>
      </c>
      <c r="S25" s="32"/>
      <c r="T25" s="55" t="s">
        <v>156</v>
      </c>
      <c r="U25" s="55">
        <f>COUNTIF($F$10:$F$19,"&gt;=38.8")+COUNTIF($F$21:$F$30,"&gt;=38.8")+COUNTIF($F$32:$F$41,"&gt;=38.8")-COUNTIF($F$10:$F$19,"&gt;49.8")-COUNTIF($F$21:$F$30,"&gt;49.8")-COUNTIF($F$32:$F$41,"&gt;49.8")</f>
        <v>2</v>
      </c>
      <c r="V25" s="32"/>
    </row>
    <row r="26" spans="1:22" x14ac:dyDescent="0.4">
      <c r="A26" s="31">
        <v>16</v>
      </c>
      <c r="B26" s="30">
        <v>3.1</v>
      </c>
      <c r="C26" s="23">
        <v>2.1</v>
      </c>
      <c r="D26" s="23">
        <f t="shared" si="3"/>
        <v>1</v>
      </c>
      <c r="E26" s="29">
        <v>2.4</v>
      </c>
      <c r="F26" s="28">
        <v>8</v>
      </c>
      <c r="G26" s="23">
        <v>0.2</v>
      </c>
      <c r="H26" s="23">
        <f t="shared" si="4"/>
        <v>33.400000000000006</v>
      </c>
      <c r="I26" s="27">
        <v>0</v>
      </c>
      <c r="J26" s="23">
        <v>0</v>
      </c>
      <c r="K26" s="23">
        <v>0</v>
      </c>
      <c r="S26" s="32"/>
      <c r="T26" s="48" t="s">
        <v>154</v>
      </c>
      <c r="U26" s="48">
        <f>COUNTIF($F$10:$F$19,"&gt;=28.6")+COUNTIF($F$21:$F$30,"&gt;=28.6")+COUNTIF($F$32:$F$41,"&gt;=28.6")-COUNTIF($F$10:$F$19,"&gt;38.7")-COUNTIF($F$21:$F$30,"&gt;38.7")-COUNTIF($F$32:$F$41,"&gt;38.7")</f>
        <v>2</v>
      </c>
      <c r="V26" s="32"/>
    </row>
    <row r="27" spans="1:22" x14ac:dyDescent="0.4">
      <c r="A27" s="31">
        <v>17</v>
      </c>
      <c r="B27" s="30">
        <v>3.1</v>
      </c>
      <c r="C27" s="23">
        <v>0.8</v>
      </c>
      <c r="D27" s="23">
        <f t="shared" si="3"/>
        <v>2.2999999999999998</v>
      </c>
      <c r="E27" s="29">
        <v>1.9</v>
      </c>
      <c r="F27" s="28">
        <v>23</v>
      </c>
      <c r="G27" s="23">
        <v>0.4</v>
      </c>
      <c r="H27" s="23">
        <f t="shared" si="4"/>
        <v>33.800000000000004</v>
      </c>
      <c r="I27" s="27">
        <v>0</v>
      </c>
      <c r="J27" s="23">
        <v>0</v>
      </c>
      <c r="K27" s="23">
        <v>0</v>
      </c>
      <c r="S27" s="32"/>
      <c r="T27" s="47" t="s">
        <v>153</v>
      </c>
      <c r="U27" s="47">
        <f>COUNTIF($F$10:$F$19,"&gt;=19.5")+COUNTIF($F$21:$F$30,"&gt;=19.5")+COUNTIF($F$32:$F$41,"&gt;=19.5")-COUNTIF($F$10:$F$19,"&gt;28.5")-COUNTIF($F$21:$F$30,"&gt;28.5")-COUNTIF($F$32:$F$41,"&gt;28.5")</f>
        <v>11</v>
      </c>
      <c r="V27" s="32"/>
    </row>
    <row r="28" spans="1:22" x14ac:dyDescent="0.4">
      <c r="A28" s="31">
        <v>18</v>
      </c>
      <c r="B28" s="30">
        <v>5.3</v>
      </c>
      <c r="C28" s="23">
        <v>-0.6</v>
      </c>
      <c r="D28" s="23">
        <f t="shared" si="3"/>
        <v>5.8999999999999995</v>
      </c>
      <c r="E28" s="29">
        <v>1.8</v>
      </c>
      <c r="F28" s="28">
        <v>11</v>
      </c>
      <c r="G28" s="23">
        <v>0.2</v>
      </c>
      <c r="H28" s="23">
        <f t="shared" si="4"/>
        <v>34.000000000000007</v>
      </c>
      <c r="I28" s="27">
        <v>1.47</v>
      </c>
      <c r="J28" s="23">
        <v>0</v>
      </c>
      <c r="K28" s="23">
        <v>0</v>
      </c>
      <c r="S28" s="32"/>
      <c r="T28" s="46" t="s">
        <v>152</v>
      </c>
      <c r="U28" s="46">
        <f>COUNTIF($F$10:$F$19,"&gt;=12")+COUNTIF($F$21:$F$30,"&gt;=12")+COUNTIF($F$32:$F$41,"&gt;=12")-COUNTIF($F$10:$F$19,"&gt;19.4")-COUNTIF($F$21:$F$30,"&gt;19.4")-COUNTIF($F$32:$F$41,"&gt;19.4")</f>
        <v>6</v>
      </c>
      <c r="V28" s="32"/>
    </row>
    <row r="29" spans="1:22" x14ac:dyDescent="0.4">
      <c r="A29" s="31">
        <v>19</v>
      </c>
      <c r="B29" s="30">
        <v>6.7</v>
      </c>
      <c r="C29" s="23">
        <v>-1.7</v>
      </c>
      <c r="D29" s="23">
        <f t="shared" si="3"/>
        <v>8.4</v>
      </c>
      <c r="E29" s="29">
        <v>1.9</v>
      </c>
      <c r="F29" s="28">
        <v>10</v>
      </c>
      <c r="G29" s="23">
        <v>0.2</v>
      </c>
      <c r="H29" s="23">
        <f t="shared" si="4"/>
        <v>34.20000000000001</v>
      </c>
      <c r="I29" s="27">
        <v>4.43</v>
      </c>
      <c r="J29" s="23">
        <v>0</v>
      </c>
      <c r="K29" s="23">
        <v>0</v>
      </c>
      <c r="S29" s="32"/>
      <c r="T29" s="32" t="s">
        <v>151</v>
      </c>
      <c r="U29" s="32">
        <f>COUNTIF($F$10:$F$19,"&lt;=11.9")+COUNTIF($F$21:$F$30,"&lt;=11.9")+COUNTIF($F$32:$F$41,"&lt;=11.9")</f>
        <v>9</v>
      </c>
      <c r="V29" s="32"/>
    </row>
    <row r="30" spans="1:22" x14ac:dyDescent="0.4">
      <c r="A30" s="31">
        <v>20</v>
      </c>
      <c r="B30" s="30">
        <v>7.2</v>
      </c>
      <c r="C30" s="23">
        <v>0.4</v>
      </c>
      <c r="D30" s="23">
        <f t="shared" si="3"/>
        <v>6.8</v>
      </c>
      <c r="E30" s="29">
        <v>2.5</v>
      </c>
      <c r="F30" s="28">
        <v>8</v>
      </c>
      <c r="G30" s="23">
        <v>0.2</v>
      </c>
      <c r="H30" s="23">
        <f t="shared" si="4"/>
        <v>34.400000000000013</v>
      </c>
      <c r="I30" s="27">
        <v>4.43</v>
      </c>
      <c r="J30" s="23">
        <v>0</v>
      </c>
      <c r="K30" s="23">
        <v>0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5">AVERAGE(B21:B30)</f>
        <v>6.95</v>
      </c>
      <c r="C31" s="17">
        <f t="shared" si="5"/>
        <v>1.69</v>
      </c>
      <c r="D31" s="17">
        <f t="shared" si="5"/>
        <v>5.26</v>
      </c>
      <c r="E31" s="39">
        <f t="shared" si="5"/>
        <v>3.8199999999999994</v>
      </c>
      <c r="F31" s="18">
        <f t="shared" si="5"/>
        <v>13.7</v>
      </c>
      <c r="G31" s="17">
        <f t="shared" si="5"/>
        <v>0.82</v>
      </c>
      <c r="H31" s="17">
        <f>SUM(H30-H19)</f>
        <v>8.2000000000000135</v>
      </c>
      <c r="I31" s="16">
        <f>AVERAGE(I21:I30)</f>
        <v>2.2429999999999999</v>
      </c>
      <c r="J31" s="17">
        <f>SUM(J21:J30)</f>
        <v>0</v>
      </c>
      <c r="K31" s="17">
        <f>AVERAGE(K21:K30)</f>
        <v>0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8.9</v>
      </c>
      <c r="C32" s="23">
        <v>-0.6</v>
      </c>
      <c r="D32" s="23">
        <f t="shared" ref="D32:D41" si="6">SUM(B32-C32)</f>
        <v>9.5</v>
      </c>
      <c r="E32" s="29">
        <v>3.1</v>
      </c>
      <c r="F32" s="28">
        <v>18</v>
      </c>
      <c r="G32" s="23">
        <v>0</v>
      </c>
      <c r="H32" s="23">
        <f>H30+G32</f>
        <v>34.400000000000013</v>
      </c>
      <c r="I32" s="27">
        <v>3.13</v>
      </c>
      <c r="J32" s="23">
        <v>0</v>
      </c>
      <c r="K32" s="23">
        <v>0</v>
      </c>
      <c r="S32" s="32"/>
      <c r="T32" s="44" t="s">
        <v>149</v>
      </c>
      <c r="U32" s="44">
        <f>COUNTIF(K10:K19,"&gt;0")+COUNTIF(K21:K30,"&gt;0")+COUNTIF(K32:K41,"&gt;0")</f>
        <v>5</v>
      </c>
      <c r="V32" s="32"/>
    </row>
    <row r="33" spans="1:22" x14ac:dyDescent="0.4">
      <c r="A33" s="31">
        <v>22</v>
      </c>
      <c r="B33" s="30">
        <v>2.5</v>
      </c>
      <c r="C33" s="23">
        <v>0.8</v>
      </c>
      <c r="D33" s="23">
        <f t="shared" si="6"/>
        <v>1.7</v>
      </c>
      <c r="E33" s="29">
        <v>1.6</v>
      </c>
      <c r="F33" s="28">
        <v>27</v>
      </c>
      <c r="G33" s="23">
        <v>0.6</v>
      </c>
      <c r="H33" s="23">
        <f t="shared" ref="H33:H41" si="7">H32+G33</f>
        <v>35.000000000000014</v>
      </c>
      <c r="I33" s="27">
        <v>0.12</v>
      </c>
      <c r="J33" s="23">
        <v>0</v>
      </c>
      <c r="K33" s="23">
        <v>0</v>
      </c>
      <c r="S33" s="32"/>
      <c r="T33" s="43" t="s">
        <v>148</v>
      </c>
      <c r="U33" s="43">
        <f>COUNTIF(K10:K19,"&gt;=1")+COUNTIF(K21:K30,"&gt;=1")+COUNTIF(K32:K41,"&gt;=1")</f>
        <v>5</v>
      </c>
      <c r="V33" s="32"/>
    </row>
    <row r="34" spans="1:22" x14ac:dyDescent="0.4">
      <c r="A34" s="31">
        <v>23</v>
      </c>
      <c r="B34" s="30">
        <v>1.7</v>
      </c>
      <c r="C34" s="23">
        <v>-0.2</v>
      </c>
      <c r="D34" s="23">
        <f t="shared" si="6"/>
        <v>1.9</v>
      </c>
      <c r="E34" s="29">
        <v>0.8</v>
      </c>
      <c r="F34" s="28">
        <v>26</v>
      </c>
      <c r="G34" s="23">
        <v>0</v>
      </c>
      <c r="H34" s="23">
        <f t="shared" si="7"/>
        <v>35.000000000000014</v>
      </c>
      <c r="I34" s="27">
        <v>0</v>
      </c>
      <c r="J34" s="23">
        <v>0</v>
      </c>
      <c r="K34" s="23">
        <v>0</v>
      </c>
      <c r="S34" s="32"/>
      <c r="T34" s="42" t="s">
        <v>147</v>
      </c>
      <c r="U34" s="42">
        <f>COUNTIF(K10:K19,"&gt;=5")+COUNTIF(K21:K30,"&gt;=5")+COUNTIF(K32:K41,"&gt;=5")</f>
        <v>2</v>
      </c>
      <c r="V34" s="32"/>
    </row>
    <row r="35" spans="1:22" x14ac:dyDescent="0.4">
      <c r="A35" s="31">
        <v>24</v>
      </c>
      <c r="B35" s="30">
        <v>1.2</v>
      </c>
      <c r="C35" s="23">
        <v>-1.9</v>
      </c>
      <c r="D35" s="23">
        <f t="shared" si="6"/>
        <v>3.0999999999999996</v>
      </c>
      <c r="E35" s="29">
        <v>-0.2</v>
      </c>
      <c r="F35" s="28">
        <v>11</v>
      </c>
      <c r="G35" s="23">
        <v>0</v>
      </c>
      <c r="H35" s="23">
        <f t="shared" si="7"/>
        <v>35.000000000000014</v>
      </c>
      <c r="I35" s="27">
        <v>0</v>
      </c>
      <c r="J35" s="23">
        <v>0</v>
      </c>
      <c r="K35" s="23">
        <v>0</v>
      </c>
      <c r="S35" s="32"/>
      <c r="T35" s="41" t="s">
        <v>146</v>
      </c>
      <c r="U35" s="41">
        <f>COUNTIF(K10:K19,"&gt;=10")+COUNTIF(K21:K30,"&gt;=10")+COUNTIF(K32:K41,"&gt;=10")</f>
        <v>2</v>
      </c>
      <c r="V35" s="32"/>
    </row>
    <row r="36" spans="1:22" x14ac:dyDescent="0.4">
      <c r="A36" s="31">
        <v>25</v>
      </c>
      <c r="B36" s="30">
        <v>1.9</v>
      </c>
      <c r="C36" s="23">
        <v>-3.2</v>
      </c>
      <c r="D36" s="23">
        <f t="shared" si="6"/>
        <v>5.0999999999999996</v>
      </c>
      <c r="E36" s="29">
        <v>0</v>
      </c>
      <c r="F36" s="28">
        <v>10</v>
      </c>
      <c r="G36" s="23">
        <v>0.8</v>
      </c>
      <c r="H36" s="23">
        <f t="shared" si="7"/>
        <v>35.800000000000011</v>
      </c>
      <c r="I36" s="27">
        <v>0</v>
      </c>
      <c r="J36" s="23">
        <v>0</v>
      </c>
      <c r="K36" s="23">
        <v>0</v>
      </c>
      <c r="S36" s="32"/>
      <c r="T36" s="40" t="s">
        <v>145</v>
      </c>
      <c r="U36" s="40">
        <f>COUNTIF(K10:K19,"&gt;=15")+COUNTIF(K21:K30,"&gt;=15")+COUNTIF(K32:K41,"&gt;=15")</f>
        <v>2</v>
      </c>
      <c r="V36" s="32"/>
    </row>
    <row r="37" spans="1:22" x14ac:dyDescent="0.4">
      <c r="A37" s="31">
        <v>26</v>
      </c>
      <c r="B37" s="30">
        <v>0.9</v>
      </c>
      <c r="C37" s="23">
        <v>-1.9</v>
      </c>
      <c r="D37" s="23">
        <f t="shared" si="6"/>
        <v>2.8</v>
      </c>
      <c r="E37" s="29">
        <v>-0.9</v>
      </c>
      <c r="F37" s="28">
        <v>27</v>
      </c>
      <c r="G37" s="23">
        <v>1</v>
      </c>
      <c r="H37" s="23">
        <f t="shared" si="7"/>
        <v>36.800000000000011</v>
      </c>
      <c r="I37" s="27">
        <v>0</v>
      </c>
      <c r="J37" s="23">
        <v>0</v>
      </c>
      <c r="K37" s="23">
        <v>1</v>
      </c>
      <c r="S37" s="32"/>
      <c r="T37" s="38" t="s">
        <v>143</v>
      </c>
      <c r="U37" s="38">
        <f>COUNTIF(K10:K19,"&gt;=20")+COUNTIF(K21:K30,"&gt;=20")+COUNTIF(K32:K41,"&gt;=20")</f>
        <v>0</v>
      </c>
      <c r="V37" s="32"/>
    </row>
    <row r="38" spans="1:22" x14ac:dyDescent="0.4">
      <c r="A38" s="31">
        <v>27</v>
      </c>
      <c r="B38" s="30">
        <v>0.7</v>
      </c>
      <c r="C38" s="23">
        <v>-1.9</v>
      </c>
      <c r="D38" s="23">
        <f t="shared" si="6"/>
        <v>2.5999999999999996</v>
      </c>
      <c r="E38" s="29">
        <v>-0.9</v>
      </c>
      <c r="F38" s="28">
        <v>47</v>
      </c>
      <c r="G38" s="23">
        <v>1</v>
      </c>
      <c r="H38" s="23">
        <f t="shared" si="7"/>
        <v>37.800000000000011</v>
      </c>
      <c r="I38" s="27">
        <v>0.38</v>
      </c>
      <c r="J38" s="23">
        <v>2</v>
      </c>
      <c r="K38" s="23">
        <v>2</v>
      </c>
      <c r="T38" s="37" t="s">
        <v>142</v>
      </c>
      <c r="U38" s="37">
        <f>COUNTIF(K10:K19,"&gt;=30")+COUNTIF(K21:K30,"&gt;=30")+COUNTIF(K32:K41,"&gt;=30")</f>
        <v>0</v>
      </c>
    </row>
    <row r="39" spans="1:22" x14ac:dyDescent="0.4">
      <c r="A39" s="31">
        <v>28</v>
      </c>
      <c r="B39" s="30">
        <v>-0.7</v>
      </c>
      <c r="C39" s="23">
        <v>-3</v>
      </c>
      <c r="D39" s="23">
        <f t="shared" si="6"/>
        <v>2.2999999999999998</v>
      </c>
      <c r="E39" s="29">
        <v>-1.9</v>
      </c>
      <c r="F39" s="28">
        <v>27</v>
      </c>
      <c r="G39" s="23">
        <v>5.2</v>
      </c>
      <c r="H39" s="23">
        <f t="shared" si="7"/>
        <v>43.000000000000014</v>
      </c>
      <c r="I39" s="27">
        <v>0</v>
      </c>
      <c r="J39" s="23">
        <v>2</v>
      </c>
      <c r="K39" s="23">
        <v>4</v>
      </c>
      <c r="T39" s="36" t="s">
        <v>141</v>
      </c>
      <c r="U39" s="36">
        <f>COUNTIF(K10:K19,"&gt;=40")+COUNTIF(K21:K30,"&gt;=40")+COUNTIF(K32:K41,"&gt;=40")</f>
        <v>0</v>
      </c>
    </row>
    <row r="40" spans="1:22" x14ac:dyDescent="0.4">
      <c r="A40" s="31">
        <v>29</v>
      </c>
      <c r="B40" s="30">
        <v>0.5</v>
      </c>
      <c r="C40" s="23">
        <v>-4.5999999999999996</v>
      </c>
      <c r="D40" s="23">
        <f t="shared" si="6"/>
        <v>5.0999999999999996</v>
      </c>
      <c r="E40" s="29">
        <v>-2.8</v>
      </c>
      <c r="F40" s="28">
        <v>26</v>
      </c>
      <c r="G40" s="23">
        <v>4</v>
      </c>
      <c r="H40" s="23">
        <f t="shared" si="7"/>
        <v>47.000000000000014</v>
      </c>
      <c r="I40" s="27">
        <v>0.27</v>
      </c>
      <c r="J40" s="23">
        <v>17</v>
      </c>
      <c r="K40" s="23">
        <v>18</v>
      </c>
      <c r="T40" s="35" t="s">
        <v>140</v>
      </c>
      <c r="U40" s="35">
        <f>COUNTIF(K10:K19,"&gt;=50")+COUNTIF(K21:K30,"&gt;=50")+COUNTIF(K32:K41,"&gt;=50")</f>
        <v>0</v>
      </c>
    </row>
    <row r="41" spans="1:22" x14ac:dyDescent="0.4">
      <c r="A41" s="31">
        <v>30</v>
      </c>
      <c r="B41" s="30">
        <v>0.7</v>
      </c>
      <c r="C41" s="23">
        <v>-5.8</v>
      </c>
      <c r="D41" s="23">
        <f t="shared" si="6"/>
        <v>6.5</v>
      </c>
      <c r="E41" s="29">
        <v>-2.5</v>
      </c>
      <c r="F41" s="28">
        <v>21</v>
      </c>
      <c r="G41" s="23">
        <v>1.6</v>
      </c>
      <c r="H41" s="23">
        <f t="shared" si="7"/>
        <v>48.600000000000016</v>
      </c>
      <c r="I41" s="27">
        <v>7.0000000000000007E-2</v>
      </c>
      <c r="J41" s="23">
        <v>0</v>
      </c>
      <c r="K41" s="23">
        <v>17</v>
      </c>
      <c r="T41" s="34" t="s">
        <v>139</v>
      </c>
      <c r="U41" s="34">
        <f>COUNTIF(K10:K19,"&gt;=75")+COUNTIF(K21:K30,"&gt;=75")+COUNTIF(K32:K41,"&gt;=75")</f>
        <v>0</v>
      </c>
    </row>
    <row r="42" spans="1:22" x14ac:dyDescent="0.4">
      <c r="A42" s="20" t="s">
        <v>137</v>
      </c>
      <c r="B42" s="19">
        <f t="shared" ref="B42:G42" si="8">AVERAGE(B32:B41)</f>
        <v>1.8299999999999996</v>
      </c>
      <c r="C42" s="17">
        <f t="shared" si="8"/>
        <v>-2.23</v>
      </c>
      <c r="D42" s="17">
        <f t="shared" si="8"/>
        <v>4.0599999999999996</v>
      </c>
      <c r="E42" s="39">
        <f t="shared" si="8"/>
        <v>-0.37</v>
      </c>
      <c r="F42" s="18">
        <f t="shared" si="8"/>
        <v>24</v>
      </c>
      <c r="G42" s="17">
        <f t="shared" si="8"/>
        <v>1.42</v>
      </c>
      <c r="H42" s="17">
        <f>SUM(H41-H30)</f>
        <v>14.200000000000003</v>
      </c>
      <c r="I42" s="16">
        <f>AVERAGE(I32:I41)</f>
        <v>0.39699999999999996</v>
      </c>
      <c r="J42" s="17">
        <f>SUM(J32:J41)</f>
        <v>21</v>
      </c>
      <c r="K42" s="17">
        <f>AVERAGE(K32:K41)</f>
        <v>4.2</v>
      </c>
      <c r="T42" s="33" t="s">
        <v>138</v>
      </c>
      <c r="U42" s="33">
        <f>COUNTIF(K10:K19,"&gt;=100")+COUNTIF(K21:K30,"&gt;=100")+COUNTIF(K32:K41,"&gt;=100")</f>
        <v>0</v>
      </c>
    </row>
    <row r="43" spans="1:22" x14ac:dyDescent="0.4">
      <c r="A43" s="14" t="s">
        <v>136</v>
      </c>
      <c r="B43" s="13">
        <f t="shared" ref="B43:G43" si="9">AVERAGE(B10:B19,B21:B30,B32:B41)</f>
        <v>5.0866666666666651</v>
      </c>
      <c r="C43" s="9">
        <f t="shared" si="9"/>
        <v>5.6666666666666789E-2</v>
      </c>
      <c r="D43" s="9">
        <f t="shared" si="9"/>
        <v>5.0300000000000011</v>
      </c>
      <c r="E43" s="80">
        <f t="shared" si="9"/>
        <v>2.2699999999999991</v>
      </c>
      <c r="F43" s="12">
        <f t="shared" si="9"/>
        <v>20.566666666666666</v>
      </c>
      <c r="G43" s="9">
        <f t="shared" si="9"/>
        <v>1.6200000000000006</v>
      </c>
      <c r="H43" s="11">
        <f>MAX(H10:H19,H21:H30,H32:H41)</f>
        <v>48.600000000000016</v>
      </c>
      <c r="I43" s="79">
        <f>AVERAGE(I10:I19,I21:I30,I32:I41)</f>
        <v>1.5796666666666668</v>
      </c>
      <c r="J43" s="9">
        <f>SUM(J10:J19,J21:J30,J32:J41)</f>
        <v>21</v>
      </c>
      <c r="K43" s="9">
        <f>AVERAGE(K10:K19,K21:K30,K32:K41)</f>
        <v>1.4</v>
      </c>
    </row>
  </sheetData>
  <protectedRanges>
    <protectedRange sqref="B32:C41 A3 R16 V17 R7:R9 V8:V9 V12:V13 W1 AM1 BC1 B10:C19 I32:K41 E32:G41 E10:G19 R14 B21:C30 E21:G30 I10:K19 I21:K30" name="Bereich1"/>
    <protectedRange sqref="H10:H19 H21:H30 H32:H41" name="Bereich1_1"/>
    <protectedRange sqref="L1" name="Bereich1_2"/>
    <protectedRange sqref="Q16" name="Bereich1_3"/>
  </protectedRanges>
  <mergeCells count="10">
    <mergeCell ref="B7:B9"/>
    <mergeCell ref="C7:C9"/>
    <mergeCell ref="A1:K1"/>
    <mergeCell ref="L1:V1"/>
    <mergeCell ref="W1:AL1"/>
    <mergeCell ref="AM1:BB1"/>
    <mergeCell ref="A3:K3"/>
    <mergeCell ref="B6:E6"/>
    <mergeCell ref="G6:H6"/>
    <mergeCell ref="J6:K6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3" manualBreakCount="3">
    <brk id="11" max="42" man="1"/>
    <brk id="22" max="42" man="1"/>
    <brk id="38" max="4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2F94F-8157-443C-86C6-4F6BC196A573}">
  <dimension ref="A1:BB44"/>
  <sheetViews>
    <sheetView topLeftCell="B7" zoomScaleNormal="100" zoomScaleSheetLayoutView="100" workbookViewId="0">
      <selection activeCell="O32" sqref="O32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15" max="15" width="10.703125" customWidth="1"/>
    <col min="21" max="21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1" t="s">
        <v>200</v>
      </c>
      <c r="K6" s="97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45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70"/>
      <c r="L7" s="32" t="s">
        <v>192</v>
      </c>
      <c r="M7" s="89" t="s">
        <v>100</v>
      </c>
      <c r="N7" s="57">
        <f>AVERAGE(B10:B19,B21:B30,B32:B42)</f>
        <v>2.6129032258064515</v>
      </c>
      <c r="O7" s="56">
        <f>MAX(B10:B19,B21:B30,B32:B42)</f>
        <v>12.3</v>
      </c>
      <c r="P7" s="36">
        <f>MIN(B10:B19,B21:B30,B32:B42)</f>
        <v>-4.9000000000000004</v>
      </c>
      <c r="Q7" s="32"/>
      <c r="R7" s="34">
        <v>-0.89</v>
      </c>
      <c r="S7" s="63" t="s">
        <v>191</v>
      </c>
      <c r="T7" s="34" t="s">
        <v>190</v>
      </c>
      <c r="U7" s="34">
        <f>COUNTIF($C$10:$C$19,"&lt;=-10")+COUNTIF($C$21:$C$30,"&lt;=-10")+COUNTIF($C$32:$C$42,"&lt;=-10")</f>
        <v>0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AVERAGE(C10:C19,C21:C30,C32:C42)</f>
        <v>-2.8516129032258068</v>
      </c>
      <c r="O8" s="56">
        <f>MAX(C10:C19,C21:C30,C32:C42)</f>
        <v>6.8</v>
      </c>
      <c r="P8" s="36">
        <f>MIN(C10:C19,C21:C30,C32:C42)</f>
        <v>-9.4</v>
      </c>
      <c r="Q8" s="32"/>
      <c r="R8" s="34">
        <v>0.15</v>
      </c>
      <c r="S8" s="63" t="s">
        <v>185</v>
      </c>
      <c r="T8" s="36" t="s">
        <v>184</v>
      </c>
      <c r="U8" s="36">
        <f>COUNTIF($B$10:$B$19,"&lt;=0")+COUNTIF($B$21:$B$30,"&lt;=0")+COUNTIF($B$32:$B$42,"&lt;=0")</f>
        <v>7</v>
      </c>
      <c r="V8" s="34">
        <v>0.6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AVERAGE(E10:E19,E21:E30,E32:E42)</f>
        <v>-0.17935483870967722</v>
      </c>
      <c r="O9" s="56">
        <f>MAX(E10:E19,E21:E30,E32:E42)</f>
        <v>9.83</v>
      </c>
      <c r="P9" s="36">
        <f>MIN(E10:E19,E21:E30,E32:E42)</f>
        <v>-7.4</v>
      </c>
      <c r="Q9" s="32"/>
      <c r="R9" s="34">
        <v>-0.38</v>
      </c>
      <c r="S9" s="63" t="s">
        <v>177</v>
      </c>
      <c r="T9" s="37" t="s">
        <v>176</v>
      </c>
      <c r="U9" s="37">
        <f>COUNTIF($C$10:$C$19,"&lt;0")+COUNTIF($C$21:$C$30,"&lt;0")+COUNTIF($C$32:$C$42,"&lt;0")</f>
        <v>23</v>
      </c>
      <c r="V9" s="34">
        <v>-0.9</v>
      </c>
    </row>
    <row r="10" spans="1:54" x14ac:dyDescent="0.4">
      <c r="A10" s="31">
        <v>1</v>
      </c>
      <c r="B10" s="30">
        <v>3.8</v>
      </c>
      <c r="C10" s="23">
        <v>-0.4</v>
      </c>
      <c r="D10" s="23">
        <f t="shared" ref="D10:D19" si="0">SUM(B10-C10)</f>
        <v>4.2</v>
      </c>
      <c r="E10" s="29">
        <v>1.6</v>
      </c>
      <c r="F10" s="28">
        <v>35</v>
      </c>
      <c r="G10" s="23">
        <v>2.2000000000000002</v>
      </c>
      <c r="H10" s="23">
        <f>G10</f>
        <v>2.2000000000000002</v>
      </c>
      <c r="I10" s="27">
        <v>0.13</v>
      </c>
      <c r="J10" s="23">
        <v>0</v>
      </c>
      <c r="K10" s="23">
        <v>11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COUNTIF($B$10:$B$19,"&lt;10")+COUNTIF($B$21:$B$30,"&lt;10")+COUNTIF($B$32:$B$42,"&lt;10")</f>
        <v>29</v>
      </c>
      <c r="V10" s="32"/>
    </row>
    <row r="11" spans="1:54" x14ac:dyDescent="0.4">
      <c r="A11" s="31">
        <v>2</v>
      </c>
      <c r="B11" s="30">
        <v>2.4</v>
      </c>
      <c r="C11" s="23">
        <v>-4.3</v>
      </c>
      <c r="D11" s="23">
        <f t="shared" si="0"/>
        <v>6.6999999999999993</v>
      </c>
      <c r="E11" s="29">
        <v>-0.52</v>
      </c>
      <c r="F11" s="28">
        <v>39</v>
      </c>
      <c r="G11" s="23">
        <v>6</v>
      </c>
      <c r="H11" s="23">
        <f t="shared" ref="H11:H19" si="1">H10+G11</f>
        <v>8.1999999999999993</v>
      </c>
      <c r="I11" s="27">
        <v>0.05</v>
      </c>
      <c r="J11" s="23">
        <v>1</v>
      </c>
      <c r="K11" s="23">
        <v>5</v>
      </c>
      <c r="L11" s="32" t="s">
        <v>173</v>
      </c>
      <c r="M11" s="89" t="s">
        <v>102</v>
      </c>
      <c r="N11" s="57">
        <f>AVERAGE(F10:F19,F21:F30,F32:F42)</f>
        <v>20.806451612903224</v>
      </c>
      <c r="O11" s="56">
        <f>MAX(F10:F19,F21:F30,F32:F42)</f>
        <v>74</v>
      </c>
      <c r="P11" s="36">
        <f>MIN(F10:F19,F21:F30,F32:F42)</f>
        <v>7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COUNTIF($B$10:$B$19,"&gt;=20")+COUNTIF($B$21:$B$30,"&gt;=20")+COUNTIF($B$32:$B$42,"&gt;=20")</f>
        <v>0</v>
      </c>
      <c r="V11" s="32"/>
    </row>
    <row r="12" spans="1:54" x14ac:dyDescent="0.4">
      <c r="A12" s="31">
        <v>3</v>
      </c>
      <c r="B12" s="30">
        <v>-2.4</v>
      </c>
      <c r="C12" s="23">
        <v>-5.6</v>
      </c>
      <c r="D12" s="23">
        <f t="shared" si="0"/>
        <v>3.1999999999999997</v>
      </c>
      <c r="E12" s="29">
        <v>-4.03</v>
      </c>
      <c r="F12" s="28">
        <v>11</v>
      </c>
      <c r="G12" s="23">
        <v>0.4</v>
      </c>
      <c r="H12" s="23">
        <f t="shared" si="1"/>
        <v>8.6</v>
      </c>
      <c r="I12" s="27">
        <v>0.12</v>
      </c>
      <c r="J12" s="23">
        <v>4</v>
      </c>
      <c r="K12" s="23">
        <v>7</v>
      </c>
      <c r="L12" s="32"/>
      <c r="M12" s="32"/>
      <c r="N12" s="57"/>
      <c r="O12" s="56"/>
      <c r="P12" s="36"/>
      <c r="Q12" s="32"/>
      <c r="S12" s="63" t="s">
        <v>170</v>
      </c>
      <c r="T12" s="48" t="s">
        <v>169</v>
      </c>
      <c r="U12" s="48">
        <f>COUNTIF($B$10:$B$19,"&gt;=25")+COUNTIF($B$21:$B$30,"&gt;=25")+COUNTIF($B$32:$B$42,"&gt;=25")</f>
        <v>0</v>
      </c>
      <c r="V12" s="34">
        <v>0</v>
      </c>
    </row>
    <row r="13" spans="1:54" x14ac:dyDescent="0.4">
      <c r="A13" s="31">
        <v>4</v>
      </c>
      <c r="B13" s="30">
        <v>3.8</v>
      </c>
      <c r="C13" s="23">
        <v>-2.7</v>
      </c>
      <c r="D13" s="23">
        <f t="shared" si="0"/>
        <v>6.5</v>
      </c>
      <c r="E13" s="29">
        <v>0.95</v>
      </c>
      <c r="F13" s="28">
        <v>39</v>
      </c>
      <c r="G13" s="23">
        <v>18</v>
      </c>
      <c r="H13" s="23">
        <f t="shared" si="1"/>
        <v>26.6</v>
      </c>
      <c r="I13" s="27">
        <v>0</v>
      </c>
      <c r="J13" s="23">
        <v>0</v>
      </c>
      <c r="K13" s="23">
        <v>4</v>
      </c>
      <c r="L13" s="32" t="s">
        <v>168</v>
      </c>
      <c r="M13" s="89" t="s">
        <v>104</v>
      </c>
      <c r="N13" s="57">
        <f>AVERAGE(G10:G19,G21:G30,G32:G42)</f>
        <v>3.0387096774193547</v>
      </c>
      <c r="O13" s="56">
        <f>MAX(G10:G19,G21:G30,G32:G42)</f>
        <v>21.4</v>
      </c>
      <c r="P13" s="36">
        <f>MIN(G10:G19,G21:G30,G32:G42)</f>
        <v>0</v>
      </c>
      <c r="Q13" s="32"/>
      <c r="S13" s="63" t="s">
        <v>167</v>
      </c>
      <c r="T13" s="55" t="s">
        <v>166</v>
      </c>
      <c r="U13" s="55">
        <f>COUNTIF($B$10:$B$19,"&gt;=30")+COUNTIF($B$21:$B$30,"&gt;=30")+COUNTIF($B$32:$B$42,"&gt;=30")</f>
        <v>0</v>
      </c>
      <c r="V13" s="34">
        <v>0</v>
      </c>
    </row>
    <row r="14" spans="1:54" x14ac:dyDescent="0.4">
      <c r="A14" s="31">
        <v>5</v>
      </c>
      <c r="B14" s="30">
        <v>2.1</v>
      </c>
      <c r="C14" s="23">
        <v>-2.2000000000000002</v>
      </c>
      <c r="D14" s="23">
        <f t="shared" si="0"/>
        <v>4.3000000000000007</v>
      </c>
      <c r="E14" s="29">
        <v>0.2</v>
      </c>
      <c r="F14" s="28">
        <v>23</v>
      </c>
      <c r="G14" s="23">
        <v>1</v>
      </c>
      <c r="H14" s="23">
        <f t="shared" si="1"/>
        <v>27.6</v>
      </c>
      <c r="I14" s="27">
        <v>0</v>
      </c>
      <c r="J14" s="23">
        <v>3</v>
      </c>
      <c r="K14" s="23">
        <v>5</v>
      </c>
      <c r="L14" s="32" t="s">
        <v>165</v>
      </c>
      <c r="M14" s="89" t="s">
        <v>104</v>
      </c>
      <c r="N14" s="64"/>
      <c r="O14" s="32"/>
      <c r="P14" s="32"/>
      <c r="Q14" s="40">
        <f>MAX(H10:H19,H21:H30,H32:H42)</f>
        <v>94.2</v>
      </c>
      <c r="R14" s="34">
        <v>6.2</v>
      </c>
      <c r="S14" s="63" t="s">
        <v>164</v>
      </c>
      <c r="T14" s="59" t="s">
        <v>163</v>
      </c>
      <c r="U14" s="59">
        <f>COUNTIF($C$10:$C$19,"&gt;=20")+COUNTIF($C$21:$C$30,"&gt;=20")+COUNTIF($C$32:$C$42,"&gt;=20")</f>
        <v>0</v>
      </c>
      <c r="V14" s="60"/>
    </row>
    <row r="15" spans="1:54" x14ac:dyDescent="0.4">
      <c r="A15" s="31">
        <v>6</v>
      </c>
      <c r="B15" s="30">
        <v>1.3</v>
      </c>
      <c r="C15" s="23">
        <v>-3.6</v>
      </c>
      <c r="D15" s="23">
        <f t="shared" si="0"/>
        <v>4.9000000000000004</v>
      </c>
      <c r="E15" s="29">
        <v>-2.52</v>
      </c>
      <c r="F15" s="28">
        <v>16</v>
      </c>
      <c r="G15" s="23">
        <v>0</v>
      </c>
      <c r="H15" s="23">
        <f t="shared" si="1"/>
        <v>27.6</v>
      </c>
      <c r="I15" s="27">
        <v>0</v>
      </c>
      <c r="J15" s="23">
        <v>3</v>
      </c>
      <c r="K15" s="23">
        <v>8</v>
      </c>
      <c r="L15" s="32"/>
      <c r="M15" s="32"/>
      <c r="N15" s="57"/>
      <c r="O15" s="56"/>
      <c r="P15" s="36"/>
      <c r="S15" s="32"/>
      <c r="T15" s="32"/>
      <c r="U15" s="32"/>
      <c r="V15" s="60"/>
    </row>
    <row r="16" spans="1:54" x14ac:dyDescent="0.4">
      <c r="A16" s="31">
        <v>7</v>
      </c>
      <c r="B16" s="30">
        <v>1.8</v>
      </c>
      <c r="C16" s="23">
        <v>-3</v>
      </c>
      <c r="D16" s="23">
        <f t="shared" si="0"/>
        <v>4.8</v>
      </c>
      <c r="E16" s="29">
        <v>-0.75</v>
      </c>
      <c r="F16" s="28">
        <v>29</v>
      </c>
      <c r="G16" s="23">
        <v>0.6</v>
      </c>
      <c r="H16" s="23">
        <f t="shared" si="1"/>
        <v>28.200000000000003</v>
      </c>
      <c r="I16" s="27">
        <v>3.37</v>
      </c>
      <c r="J16" s="23">
        <v>3</v>
      </c>
      <c r="K16" s="23">
        <v>7</v>
      </c>
      <c r="L16" s="32" t="s">
        <v>162</v>
      </c>
      <c r="M16" s="89" t="s">
        <v>105</v>
      </c>
      <c r="N16" s="57">
        <f>AVERAGE(I10:I19,I21:I30,I32:I42)</f>
        <v>0.99612903225806448</v>
      </c>
      <c r="O16" s="62">
        <f>MAX(I10:I19,I21:I30,I32:I42)</f>
        <v>3.46</v>
      </c>
      <c r="P16" s="61">
        <f>MIN(I10:I19,I21:I30,I32:I42)</f>
        <v>0</v>
      </c>
      <c r="Q16" s="94">
        <v>30.87</v>
      </c>
      <c r="R16" s="34">
        <v>-22.13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0.5</v>
      </c>
      <c r="C17" s="23">
        <v>-1.1000000000000001</v>
      </c>
      <c r="D17" s="23">
        <f t="shared" si="0"/>
        <v>1.6</v>
      </c>
      <c r="E17" s="29">
        <v>-0.35</v>
      </c>
      <c r="F17" s="28">
        <v>8</v>
      </c>
      <c r="G17" s="23">
        <v>21.4</v>
      </c>
      <c r="H17" s="23">
        <f t="shared" si="1"/>
        <v>49.6</v>
      </c>
      <c r="I17" s="27">
        <v>0</v>
      </c>
      <c r="J17" s="23">
        <v>3</v>
      </c>
      <c r="K17" s="23">
        <v>9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COUNTIF(G10:G19,"&gt;=1")+COUNTIF(G21:G30,"&gt;=1")+COUNTIF(G32:G42,"&gt;=1")</f>
        <v>13</v>
      </c>
      <c r="V17" s="34">
        <v>1.3</v>
      </c>
    </row>
    <row r="18" spans="1:22" x14ac:dyDescent="0.4">
      <c r="A18" s="31">
        <v>9</v>
      </c>
      <c r="B18" s="30">
        <v>1.2</v>
      </c>
      <c r="C18" s="23">
        <v>-4.2</v>
      </c>
      <c r="D18" s="23">
        <f t="shared" si="0"/>
        <v>5.4</v>
      </c>
      <c r="E18" s="29">
        <v>-1.33</v>
      </c>
      <c r="F18" s="28">
        <v>11</v>
      </c>
      <c r="G18" s="23">
        <v>5.8</v>
      </c>
      <c r="H18" s="23">
        <f t="shared" si="1"/>
        <v>55.4</v>
      </c>
      <c r="I18" s="27">
        <v>0</v>
      </c>
      <c r="J18" s="23">
        <v>20</v>
      </c>
      <c r="K18" s="23">
        <v>28</v>
      </c>
      <c r="L18" s="32" t="s">
        <v>159</v>
      </c>
      <c r="M18" s="89" t="s">
        <v>108</v>
      </c>
      <c r="N18" s="57">
        <f>AVERAGE(J10:J19,J21:J30,J32:J42)</f>
        <v>1.5483870967741935</v>
      </c>
      <c r="O18" s="56">
        <f>MAX(J10:J19,J21:J30,J32:J42)</f>
        <v>20</v>
      </c>
      <c r="P18" s="36">
        <f>MIN(J10:J19,J21:J30,J32:J42)</f>
        <v>0</v>
      </c>
      <c r="Q18" s="58">
        <f>SUM(J10:J19,J21:J30,J32:J42)</f>
        <v>48</v>
      </c>
      <c r="R18" s="32"/>
      <c r="S18" s="32"/>
      <c r="T18" s="85" t="s">
        <v>224</v>
      </c>
      <c r="U18" s="85">
        <f>COUNTIF(G10:G19,"&gt;=10")+COUNTIF(G21:G30,"&gt;=10")+COUNTIF(G32:G42,"&gt;=10")</f>
        <v>3</v>
      </c>
      <c r="V18" s="32"/>
    </row>
    <row r="19" spans="1:22" x14ac:dyDescent="0.4">
      <c r="A19" s="31">
        <v>10</v>
      </c>
      <c r="B19" s="30">
        <v>0.4</v>
      </c>
      <c r="C19" s="23">
        <v>-5.6</v>
      </c>
      <c r="D19" s="23">
        <f t="shared" si="0"/>
        <v>6</v>
      </c>
      <c r="E19" s="29">
        <v>-2.5099999999999998</v>
      </c>
      <c r="F19" s="28">
        <v>39</v>
      </c>
      <c r="G19" s="23">
        <v>5.8</v>
      </c>
      <c r="H19" s="23">
        <f t="shared" si="1"/>
        <v>61.199999999999996</v>
      </c>
      <c r="I19" s="27">
        <v>0</v>
      </c>
      <c r="J19" s="23">
        <v>10</v>
      </c>
      <c r="K19" s="23">
        <v>31</v>
      </c>
      <c r="L19" s="32" t="s">
        <v>157</v>
      </c>
      <c r="M19" s="89" t="s">
        <v>108</v>
      </c>
      <c r="N19" s="57">
        <f>AVERAGE(K10:K19,K21:K30,K32:K42)</f>
        <v>14.419354838709678</v>
      </c>
      <c r="O19" s="56">
        <f>MAX(K10:K19,K21:K30,K32:K42)</f>
        <v>31</v>
      </c>
      <c r="P19" s="36">
        <f>MIN(K10:K19,K21:K30,K32:K42)</f>
        <v>0</v>
      </c>
      <c r="S19" s="32"/>
      <c r="T19" s="86" t="s">
        <v>225</v>
      </c>
      <c r="U19" s="86">
        <f>COUNTIF(G10:G19,"&gt;=20")+COUNTIF(G21:G30,"&gt;=20")+COUNTIF(G32:G42,"&gt;=20")</f>
        <v>1</v>
      </c>
      <c r="V19" s="32"/>
    </row>
    <row r="20" spans="1:22" x14ac:dyDescent="0.4">
      <c r="A20" s="54" t="s">
        <v>155</v>
      </c>
      <c r="B20" s="53">
        <f t="shared" ref="B20:G20" si="2">AVERAGE(B10:B19)</f>
        <v>1.49</v>
      </c>
      <c r="C20" s="49">
        <f t="shared" si="2"/>
        <v>-3.2700000000000005</v>
      </c>
      <c r="D20" s="49">
        <f t="shared" si="2"/>
        <v>4.76</v>
      </c>
      <c r="E20" s="52">
        <f t="shared" si="2"/>
        <v>-0.92599999999999993</v>
      </c>
      <c r="F20" s="51">
        <f t="shared" si="2"/>
        <v>25</v>
      </c>
      <c r="G20" s="49">
        <f t="shared" si="2"/>
        <v>6.1199999999999992</v>
      </c>
      <c r="H20" s="49">
        <f>MAX(H10:H19)</f>
        <v>61.199999999999996</v>
      </c>
      <c r="I20" s="50">
        <f>AVERAGE(I10:I19)</f>
        <v>0.36699999999999999</v>
      </c>
      <c r="J20" s="49">
        <f>SUM(J10:J19)</f>
        <v>47</v>
      </c>
      <c r="K20" s="49">
        <f>AVERAGE(K10:K19)</f>
        <v>11.5</v>
      </c>
      <c r="Q20" s="32"/>
      <c r="R20" s="32"/>
      <c r="S20" s="32"/>
      <c r="T20" s="87" t="s">
        <v>226</v>
      </c>
      <c r="U20" s="87">
        <f>COUNTIF(G10:G19,"&gt;=50")+COUNTIF(G21:G30,"&gt;=50")+COUNTIF(G32:G42,"&gt;=50")</f>
        <v>0</v>
      </c>
      <c r="V20" s="32"/>
    </row>
    <row r="21" spans="1:22" x14ac:dyDescent="0.4">
      <c r="A21" s="31">
        <v>11</v>
      </c>
      <c r="B21" s="30">
        <v>0.2</v>
      </c>
      <c r="C21" s="23">
        <v>-1.7</v>
      </c>
      <c r="D21" s="23">
        <f t="shared" ref="D21:D30" si="3">SUM(B21-C21)</f>
        <v>1.9</v>
      </c>
      <c r="E21" s="29">
        <v>-0.94</v>
      </c>
      <c r="F21" s="28">
        <v>27</v>
      </c>
      <c r="G21" s="23">
        <v>2.4</v>
      </c>
      <c r="H21" s="23">
        <f>H19+G21</f>
        <v>63.599999999999994</v>
      </c>
      <c r="I21" s="27">
        <v>0</v>
      </c>
      <c r="J21" s="23">
        <v>0</v>
      </c>
      <c r="K21" s="23">
        <v>29</v>
      </c>
      <c r="Q21" s="32"/>
      <c r="R21" s="32"/>
      <c r="S21" s="32"/>
      <c r="V21" s="32"/>
    </row>
    <row r="22" spans="1:22" x14ac:dyDescent="0.4">
      <c r="A22" s="31">
        <v>12</v>
      </c>
      <c r="B22" s="30">
        <v>0.7</v>
      </c>
      <c r="C22" s="23">
        <v>-4.8</v>
      </c>
      <c r="D22" s="23">
        <f t="shared" si="3"/>
        <v>5.5</v>
      </c>
      <c r="E22" s="29">
        <v>-2.12</v>
      </c>
      <c r="F22" s="28">
        <v>18</v>
      </c>
      <c r="G22" s="23">
        <v>0</v>
      </c>
      <c r="H22" s="23">
        <f t="shared" ref="H22:H30" si="4">H21+G22</f>
        <v>63.599999999999994</v>
      </c>
      <c r="I22" s="27">
        <v>0.33</v>
      </c>
      <c r="J22" s="23">
        <v>1</v>
      </c>
      <c r="K22" s="23">
        <v>28</v>
      </c>
      <c r="Q22" s="32"/>
      <c r="R22" s="32"/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1.9</v>
      </c>
      <c r="C23" s="23">
        <v>-2.6</v>
      </c>
      <c r="D23" s="23">
        <f t="shared" si="3"/>
        <v>4.5</v>
      </c>
      <c r="E23" s="29">
        <v>-0.64</v>
      </c>
      <c r="F23" s="28">
        <v>16</v>
      </c>
      <c r="G23" s="23">
        <v>0</v>
      </c>
      <c r="H23" s="23">
        <f t="shared" si="4"/>
        <v>63.599999999999994</v>
      </c>
      <c r="I23" s="27">
        <v>3.45</v>
      </c>
      <c r="J23" s="23">
        <v>0</v>
      </c>
      <c r="K23" s="23">
        <v>27</v>
      </c>
      <c r="Q23" s="32"/>
      <c r="R23" s="32"/>
      <c r="S23" s="32"/>
      <c r="T23" s="59" t="s">
        <v>160</v>
      </c>
      <c r="U23" s="59">
        <f>COUNTIF($F$10:$F$19,"&gt;=61.8")+COUNTIF($F$21:$F$30,"&gt;=61.8")+COUNTIF($F$32:$F$42,"&gt;=61.8")</f>
        <v>1</v>
      </c>
      <c r="V23" s="32"/>
    </row>
    <row r="24" spans="1:22" x14ac:dyDescent="0.4">
      <c r="A24" s="31">
        <v>14</v>
      </c>
      <c r="B24" s="30">
        <v>5.2</v>
      </c>
      <c r="C24" s="23">
        <v>-1.6</v>
      </c>
      <c r="D24" s="23">
        <f t="shared" si="3"/>
        <v>6.8000000000000007</v>
      </c>
      <c r="E24" s="29">
        <v>1.59</v>
      </c>
      <c r="F24" s="28">
        <v>8</v>
      </c>
      <c r="G24" s="23">
        <v>0</v>
      </c>
      <c r="H24" s="23">
        <f t="shared" si="4"/>
        <v>63.599999999999994</v>
      </c>
      <c r="I24" s="27">
        <v>2.87</v>
      </c>
      <c r="J24" s="23">
        <v>0</v>
      </c>
      <c r="K24" s="23">
        <v>25</v>
      </c>
      <c r="Q24" s="32"/>
      <c r="R24" s="32"/>
      <c r="S24" s="32"/>
      <c r="T24" s="56" t="s">
        <v>158</v>
      </c>
      <c r="U24" s="56">
        <f>COUNTIF($F$10:$F$19,"&gt;=49.9")+COUNTIF($F$21:$F$30,"&gt;=49.9")+COUNTIF($F$32:$F$42,"&gt;=49.9")-COUNTIF($F$10:$F$19,"&gt;61.7")-COUNTIF($F$21:$F$30,"&gt;61.7")-COUNTIF($F$32:$F$42,"&gt;61.7")</f>
        <v>0</v>
      </c>
      <c r="V24" s="32"/>
    </row>
    <row r="25" spans="1:22" x14ac:dyDescent="0.4">
      <c r="A25" s="31">
        <v>15</v>
      </c>
      <c r="B25" s="30">
        <v>3.6</v>
      </c>
      <c r="C25" s="23">
        <v>-5.8</v>
      </c>
      <c r="D25" s="23">
        <f t="shared" si="3"/>
        <v>9.4</v>
      </c>
      <c r="E25" s="29">
        <v>-0.26</v>
      </c>
      <c r="F25" s="28">
        <v>11</v>
      </c>
      <c r="G25" s="23">
        <v>0</v>
      </c>
      <c r="H25" s="23">
        <f t="shared" si="4"/>
        <v>63.599999999999994</v>
      </c>
      <c r="I25" s="27">
        <v>3.03</v>
      </c>
      <c r="J25" s="23">
        <v>0</v>
      </c>
      <c r="K25" s="23">
        <v>23</v>
      </c>
      <c r="Q25" s="32"/>
      <c r="R25" s="32"/>
      <c r="S25" s="32"/>
      <c r="T25" s="55" t="s">
        <v>156</v>
      </c>
      <c r="U25" s="55">
        <f>COUNTIF($F$10:$F$19,"&gt;=38.8")+COUNTIF($F$21:$F$30,"&gt;=38.8")+COUNTIF($F$32:$F$42,"&gt;=38.8")-COUNTIF($F$10:$F$19,"&gt;49.8")-COUNTIF($F$21:$F$30,"&gt;49.8")-COUNTIF($F$32:$F$42,"&gt;49.8")</f>
        <v>4</v>
      </c>
      <c r="V25" s="32"/>
    </row>
    <row r="26" spans="1:22" x14ac:dyDescent="0.4">
      <c r="A26" s="31">
        <v>16</v>
      </c>
      <c r="B26" s="30">
        <v>-1.2</v>
      </c>
      <c r="C26" s="23">
        <v>-6.8</v>
      </c>
      <c r="D26" s="23">
        <f t="shared" si="3"/>
        <v>5.6</v>
      </c>
      <c r="E26" s="29">
        <v>-3.48</v>
      </c>
      <c r="F26" s="28">
        <v>13</v>
      </c>
      <c r="G26" s="23">
        <v>0</v>
      </c>
      <c r="H26" s="23">
        <f t="shared" si="4"/>
        <v>63.599999999999994</v>
      </c>
      <c r="I26" s="27">
        <v>0.18</v>
      </c>
      <c r="J26" s="23">
        <v>0</v>
      </c>
      <c r="K26" s="23">
        <v>22</v>
      </c>
      <c r="Q26" s="32"/>
      <c r="R26" s="32"/>
      <c r="S26" s="32"/>
      <c r="T26" s="48" t="s">
        <v>154</v>
      </c>
      <c r="U26" s="48">
        <f>COUNTIF($F$10:$F$19,"&gt;=28.6")+COUNTIF($F$21:$F$30,"&gt;=28.6")+COUNTIF($F$32:$F$42,"&gt;=28.6")-COUNTIF($F$10:$F$19,"&gt;38.7")-COUNTIF($F$21:$F$30,"&gt;38.7")-COUNTIF($F$32:$F$42,"&gt;38.7")</f>
        <v>2</v>
      </c>
      <c r="V26" s="32"/>
    </row>
    <row r="27" spans="1:22" x14ac:dyDescent="0.4">
      <c r="A27" s="31">
        <v>17</v>
      </c>
      <c r="B27" s="30">
        <v>-0.2</v>
      </c>
      <c r="C27" s="23">
        <v>-4</v>
      </c>
      <c r="D27" s="23">
        <f t="shared" si="3"/>
        <v>3.8</v>
      </c>
      <c r="E27" s="29">
        <v>-2.02</v>
      </c>
      <c r="F27" s="28">
        <v>10</v>
      </c>
      <c r="G27" s="23">
        <v>0</v>
      </c>
      <c r="H27" s="23">
        <f t="shared" si="4"/>
        <v>63.599999999999994</v>
      </c>
      <c r="I27" s="27">
        <v>0</v>
      </c>
      <c r="J27" s="23">
        <v>0</v>
      </c>
      <c r="K27" s="23">
        <v>20</v>
      </c>
      <c r="Q27" s="32"/>
      <c r="R27" s="32"/>
      <c r="S27" s="32"/>
      <c r="T27" s="47" t="s">
        <v>153</v>
      </c>
      <c r="U27" s="47">
        <f>COUNTIF($F$10:$F$19,"&gt;=19.5")+COUNTIF($F$21:$F$30,"&gt;=19.5")+COUNTIF($F$32:$F$42,"&gt;=19.5")-COUNTIF($F$10:$F$19,"&gt;28.5")-COUNTIF($F$21:$F$30,"&gt;28.5")-COUNTIF($F$32:$F$42,"&gt;28.5")</f>
        <v>4</v>
      </c>
      <c r="V27" s="32"/>
    </row>
    <row r="28" spans="1:22" x14ac:dyDescent="0.4">
      <c r="A28" s="31">
        <v>18</v>
      </c>
      <c r="B28" s="30">
        <v>0.3</v>
      </c>
      <c r="C28" s="23">
        <v>-7</v>
      </c>
      <c r="D28" s="23">
        <f t="shared" si="3"/>
        <v>7.3</v>
      </c>
      <c r="E28" s="29">
        <v>-3.89</v>
      </c>
      <c r="F28" s="28">
        <v>10</v>
      </c>
      <c r="G28" s="23">
        <v>0</v>
      </c>
      <c r="H28" s="23">
        <f t="shared" si="4"/>
        <v>63.599999999999994</v>
      </c>
      <c r="I28" s="27">
        <v>3.38</v>
      </c>
      <c r="J28" s="23">
        <v>0</v>
      </c>
      <c r="K28" s="23">
        <v>19</v>
      </c>
      <c r="S28" s="32"/>
      <c r="T28" s="46" t="s">
        <v>152</v>
      </c>
      <c r="U28" s="46">
        <f>COUNTIF($F$10:$F$19,"&gt;=12")+COUNTIF($F$21:$F$30,"&gt;=12")+COUNTIF($F$32:$F$42,"&gt;=12")-COUNTIF($F$10:$F$19,"&gt;19.4")-COUNTIF($F$21:$F$30,"&gt;19.4")-COUNTIF($F$32:$F$42,"&gt;19.4")</f>
        <v>9</v>
      </c>
      <c r="V28" s="32"/>
    </row>
    <row r="29" spans="1:22" x14ac:dyDescent="0.4">
      <c r="A29" s="31">
        <v>19</v>
      </c>
      <c r="B29" s="30">
        <v>-0.3</v>
      </c>
      <c r="C29" s="23">
        <v>-7.4</v>
      </c>
      <c r="D29" s="23">
        <f t="shared" si="3"/>
        <v>7.1000000000000005</v>
      </c>
      <c r="E29" s="29">
        <v>-3.8</v>
      </c>
      <c r="F29" s="28">
        <v>11</v>
      </c>
      <c r="G29" s="23">
        <v>0</v>
      </c>
      <c r="H29" s="23">
        <f t="shared" si="4"/>
        <v>63.599999999999994</v>
      </c>
      <c r="I29" s="27">
        <v>3.38</v>
      </c>
      <c r="J29" s="23">
        <v>0</v>
      </c>
      <c r="K29" s="23">
        <v>18</v>
      </c>
      <c r="S29" s="32"/>
      <c r="T29" s="32" t="s">
        <v>151</v>
      </c>
      <c r="U29" s="32">
        <f>COUNTIF($F$10:$F$19,"&lt;=11.9")+COUNTIF($F$21:$F$30,"&lt;=11.9")+COUNTIF($F$32:$F$42,"&lt;=11.9")</f>
        <v>11</v>
      </c>
      <c r="V29" s="32"/>
    </row>
    <row r="30" spans="1:22" x14ac:dyDescent="0.4">
      <c r="A30" s="31">
        <v>20</v>
      </c>
      <c r="B30" s="30">
        <v>-0.7</v>
      </c>
      <c r="C30" s="23">
        <v>-9</v>
      </c>
      <c r="D30" s="23">
        <f t="shared" si="3"/>
        <v>8.3000000000000007</v>
      </c>
      <c r="E30" s="29">
        <v>-6.02</v>
      </c>
      <c r="F30" s="28">
        <v>10</v>
      </c>
      <c r="G30" s="23">
        <v>0</v>
      </c>
      <c r="H30" s="23">
        <f t="shared" si="4"/>
        <v>63.599999999999994</v>
      </c>
      <c r="I30" s="27">
        <v>1.05</v>
      </c>
      <c r="J30" s="23">
        <v>0</v>
      </c>
      <c r="K30" s="23">
        <v>18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5">AVERAGE(B21:B30)</f>
        <v>0.95000000000000018</v>
      </c>
      <c r="C31" s="17">
        <f t="shared" si="5"/>
        <v>-5.0699999999999994</v>
      </c>
      <c r="D31" s="17">
        <f t="shared" si="5"/>
        <v>6.0200000000000005</v>
      </c>
      <c r="E31" s="39">
        <f t="shared" si="5"/>
        <v>-2.1579999999999999</v>
      </c>
      <c r="F31" s="18">
        <f t="shared" si="5"/>
        <v>13.4</v>
      </c>
      <c r="G31" s="17">
        <f t="shared" si="5"/>
        <v>0.24</v>
      </c>
      <c r="H31" s="17">
        <f>SUM(H30-H19)</f>
        <v>2.3999999999999986</v>
      </c>
      <c r="I31" s="16">
        <f>AVERAGE(I21:I30)</f>
        <v>1.7669999999999999</v>
      </c>
      <c r="J31" s="17">
        <f>SUM(J21:J30)</f>
        <v>1</v>
      </c>
      <c r="K31" s="17">
        <f>AVERAGE(K21:K30)</f>
        <v>22.9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-4.5999999999999996</v>
      </c>
      <c r="C32" s="23">
        <v>-7.8</v>
      </c>
      <c r="D32" s="23">
        <f t="shared" ref="D32:D42" si="6">SUM(B32-C32)</f>
        <v>3.2</v>
      </c>
      <c r="E32" s="29">
        <v>-5.91</v>
      </c>
      <c r="F32" s="28">
        <v>8</v>
      </c>
      <c r="G32" s="23">
        <v>0</v>
      </c>
      <c r="H32" s="23">
        <f>H30+G32</f>
        <v>63.599999999999994</v>
      </c>
      <c r="I32" s="27">
        <v>0</v>
      </c>
      <c r="J32" s="23">
        <v>0</v>
      </c>
      <c r="K32" s="23">
        <v>18</v>
      </c>
      <c r="S32" s="32"/>
      <c r="T32" s="44" t="s">
        <v>149</v>
      </c>
      <c r="U32" s="44">
        <f>COUNTIF(K10:K19,"&gt;0")+COUNTIF(K21:K30,"&gt;0")+COUNTIF(K32:K42,"&gt;0")</f>
        <v>28</v>
      </c>
      <c r="V32" s="32"/>
    </row>
    <row r="33" spans="1:22" x14ac:dyDescent="0.4">
      <c r="A33" s="31">
        <v>22</v>
      </c>
      <c r="B33" s="30">
        <v>-4.9000000000000004</v>
      </c>
      <c r="C33" s="23">
        <v>-9.4</v>
      </c>
      <c r="D33" s="23">
        <f t="shared" si="6"/>
        <v>4.5</v>
      </c>
      <c r="E33" s="29">
        <v>-7.4</v>
      </c>
      <c r="F33" s="28">
        <v>7</v>
      </c>
      <c r="G33" s="23">
        <v>0</v>
      </c>
      <c r="H33" s="23">
        <f t="shared" ref="H33:H42" si="7">H32+G33</f>
        <v>63.599999999999994</v>
      </c>
      <c r="I33" s="27">
        <v>0.65</v>
      </c>
      <c r="J33" s="23">
        <v>0</v>
      </c>
      <c r="K33" s="23">
        <v>17</v>
      </c>
      <c r="S33" s="32"/>
      <c r="T33" s="43" t="s">
        <v>148</v>
      </c>
      <c r="U33" s="43">
        <f>COUNTIF(K10:K19,"&gt;=1")+COUNTIF(K21:K30,"&gt;=1")+COUNTIF(K32:K42,"&gt;=1")</f>
        <v>28</v>
      </c>
      <c r="V33" s="32"/>
    </row>
    <row r="34" spans="1:22" x14ac:dyDescent="0.4">
      <c r="A34" s="31">
        <v>23</v>
      </c>
      <c r="B34" s="30">
        <v>4.8</v>
      </c>
      <c r="C34" s="23">
        <v>-9.3000000000000007</v>
      </c>
      <c r="D34" s="23">
        <f t="shared" si="6"/>
        <v>14.100000000000001</v>
      </c>
      <c r="E34" s="29">
        <v>-1.78</v>
      </c>
      <c r="F34" s="28">
        <v>13</v>
      </c>
      <c r="G34" s="23">
        <v>0</v>
      </c>
      <c r="H34" s="23">
        <f t="shared" si="7"/>
        <v>63.599999999999994</v>
      </c>
      <c r="I34" s="27">
        <v>1.82</v>
      </c>
      <c r="J34" s="23">
        <v>0</v>
      </c>
      <c r="K34" s="23">
        <v>17</v>
      </c>
      <c r="S34" s="32"/>
      <c r="T34" s="42" t="s">
        <v>147</v>
      </c>
      <c r="U34" s="42">
        <f>COUNTIF(K10:K19,"&gt;=5")+COUNTIF(K21:K30,"&gt;=5")+COUNTIF(K32:K42,"&gt;=5")</f>
        <v>26</v>
      </c>
      <c r="V34" s="32"/>
    </row>
    <row r="35" spans="1:22" x14ac:dyDescent="0.4">
      <c r="A35" s="31">
        <v>24</v>
      </c>
      <c r="B35" s="30">
        <v>6</v>
      </c>
      <c r="C35" s="23">
        <v>1</v>
      </c>
      <c r="D35" s="23">
        <f t="shared" si="6"/>
        <v>5</v>
      </c>
      <c r="E35" s="29">
        <v>3.67</v>
      </c>
      <c r="F35" s="28">
        <v>14</v>
      </c>
      <c r="G35" s="23">
        <v>0</v>
      </c>
      <c r="H35" s="23">
        <f t="shared" si="7"/>
        <v>63.599999999999994</v>
      </c>
      <c r="I35" s="27">
        <v>1.03</v>
      </c>
      <c r="J35" s="23">
        <v>0</v>
      </c>
      <c r="K35" s="23">
        <v>16</v>
      </c>
      <c r="S35" s="32"/>
      <c r="T35" s="41" t="s">
        <v>146</v>
      </c>
      <c r="U35" s="41">
        <f>COUNTIF(K10:K19,"&gt;=10")+COUNTIF(K21:K30,"&gt;=10")+COUNTIF(K32:K42,"&gt;=10")</f>
        <v>19</v>
      </c>
      <c r="V35" s="32"/>
    </row>
    <row r="36" spans="1:22" x14ac:dyDescent="0.4">
      <c r="A36" s="31">
        <v>25</v>
      </c>
      <c r="B36" s="30">
        <v>5.9</v>
      </c>
      <c r="C36" s="23">
        <v>2.9</v>
      </c>
      <c r="D36" s="23">
        <f t="shared" si="6"/>
        <v>3.0000000000000004</v>
      </c>
      <c r="E36" s="29">
        <v>4.13</v>
      </c>
      <c r="F36" s="28">
        <v>18</v>
      </c>
      <c r="G36" s="23">
        <v>3.4</v>
      </c>
      <c r="H36" s="23">
        <f t="shared" si="7"/>
        <v>67</v>
      </c>
      <c r="I36" s="27">
        <v>0.02</v>
      </c>
      <c r="J36" s="23">
        <v>0</v>
      </c>
      <c r="K36" s="23">
        <v>15</v>
      </c>
      <c r="S36" s="32"/>
      <c r="T36" s="40" t="s">
        <v>145</v>
      </c>
      <c r="U36" s="40">
        <f>COUNTIF(K10:K19,"&gt;=15")+COUNTIF(K21:K30,"&gt;=15")+COUNTIF(K32:K42,"&gt;=15")</f>
        <v>17</v>
      </c>
      <c r="V36" s="32"/>
    </row>
    <row r="37" spans="1:22" x14ac:dyDescent="0.4">
      <c r="A37" s="31">
        <v>26</v>
      </c>
      <c r="B37" s="30">
        <v>4.4000000000000004</v>
      </c>
      <c r="C37" s="23">
        <v>2.1</v>
      </c>
      <c r="D37" s="23">
        <f t="shared" si="6"/>
        <v>2.3000000000000003</v>
      </c>
      <c r="E37" s="29">
        <v>3.11</v>
      </c>
      <c r="F37" s="28">
        <v>16</v>
      </c>
      <c r="G37" s="23">
        <v>6.8</v>
      </c>
      <c r="H37" s="23">
        <f t="shared" si="7"/>
        <v>73.8</v>
      </c>
      <c r="I37" s="27">
        <v>0.47</v>
      </c>
      <c r="J37" s="23">
        <v>0</v>
      </c>
      <c r="K37" s="23">
        <v>10</v>
      </c>
      <c r="S37" s="32"/>
      <c r="T37" s="38" t="s">
        <v>143</v>
      </c>
      <c r="U37" s="38">
        <f>COUNTIF(K10:K19,"&gt;=20")+COUNTIF(K21:K30,"&gt;=20")+COUNTIF(K32:K42,"&gt;=20")</f>
        <v>9</v>
      </c>
      <c r="V37" s="32"/>
    </row>
    <row r="38" spans="1:22" x14ac:dyDescent="0.4">
      <c r="A38" s="31">
        <v>27</v>
      </c>
      <c r="B38" s="30">
        <v>3.5</v>
      </c>
      <c r="C38" s="23">
        <v>0.8</v>
      </c>
      <c r="D38" s="23">
        <f t="shared" si="6"/>
        <v>2.7</v>
      </c>
      <c r="E38" s="29">
        <v>2.4900000000000002</v>
      </c>
      <c r="F38" s="28">
        <v>19</v>
      </c>
      <c r="G38" s="23">
        <v>2</v>
      </c>
      <c r="H38" s="23">
        <f t="shared" si="7"/>
        <v>75.8</v>
      </c>
      <c r="I38" s="27">
        <v>0.25</v>
      </c>
      <c r="J38" s="23">
        <v>0</v>
      </c>
      <c r="K38" s="23">
        <v>8</v>
      </c>
      <c r="T38" s="37" t="s">
        <v>142</v>
      </c>
      <c r="U38" s="37">
        <f>COUNTIF(K10:K19,"&gt;=30")+COUNTIF(K21:K30,"&gt;=30")+COUNTIF(K32:K42,"&gt;=30")</f>
        <v>1</v>
      </c>
    </row>
    <row r="39" spans="1:22" x14ac:dyDescent="0.4">
      <c r="A39" s="31">
        <v>28</v>
      </c>
      <c r="B39" s="30">
        <v>8.6</v>
      </c>
      <c r="C39" s="23">
        <v>2.2999999999999998</v>
      </c>
      <c r="D39" s="23">
        <f t="shared" si="6"/>
        <v>6.3</v>
      </c>
      <c r="E39" s="29">
        <v>4.63</v>
      </c>
      <c r="F39" s="28">
        <v>74</v>
      </c>
      <c r="G39" s="23">
        <v>5</v>
      </c>
      <c r="H39" s="23">
        <f t="shared" si="7"/>
        <v>80.8</v>
      </c>
      <c r="I39" s="27">
        <v>0</v>
      </c>
      <c r="J39" s="23">
        <v>0</v>
      </c>
      <c r="K39" s="23">
        <v>2</v>
      </c>
      <c r="L39" s="83"/>
      <c r="T39" s="36" t="s">
        <v>141</v>
      </c>
      <c r="U39" s="36">
        <f>COUNTIF(K10:K19,"&gt;=40")+COUNTIF(K21:K30,"&gt;=40")+COUNTIF(K32:K42,"&gt;=40")</f>
        <v>0</v>
      </c>
    </row>
    <row r="40" spans="1:22" x14ac:dyDescent="0.4">
      <c r="A40" s="31">
        <v>29</v>
      </c>
      <c r="B40" s="30">
        <v>9.8000000000000007</v>
      </c>
      <c r="C40" s="23">
        <v>2.9</v>
      </c>
      <c r="D40" s="23">
        <f t="shared" si="6"/>
        <v>6.9</v>
      </c>
      <c r="E40" s="29">
        <v>5.71</v>
      </c>
      <c r="F40" s="28">
        <v>42</v>
      </c>
      <c r="G40" s="23">
        <v>13.2</v>
      </c>
      <c r="H40" s="23">
        <f t="shared" si="7"/>
        <v>94</v>
      </c>
      <c r="I40" s="27">
        <v>0</v>
      </c>
      <c r="J40" s="23">
        <v>0</v>
      </c>
      <c r="K40" s="23">
        <v>0</v>
      </c>
      <c r="T40" s="35" t="s">
        <v>140</v>
      </c>
      <c r="U40" s="35">
        <f>COUNTIF(K10:K19,"&gt;=50")+COUNTIF(K21:K30,"&gt;=50")+COUNTIF(K32:K42,"&gt;=50")</f>
        <v>0</v>
      </c>
    </row>
    <row r="41" spans="1:22" x14ac:dyDescent="0.4">
      <c r="A41" s="31">
        <v>30</v>
      </c>
      <c r="B41" s="30">
        <v>12.3</v>
      </c>
      <c r="C41" s="23">
        <v>6.8</v>
      </c>
      <c r="D41" s="23">
        <f t="shared" si="6"/>
        <v>5.5000000000000009</v>
      </c>
      <c r="E41" s="29">
        <v>9.83</v>
      </c>
      <c r="F41" s="28">
        <v>27</v>
      </c>
      <c r="G41" s="23">
        <v>0.2</v>
      </c>
      <c r="H41" s="23">
        <f t="shared" si="7"/>
        <v>94.2</v>
      </c>
      <c r="I41" s="27">
        <v>1.84</v>
      </c>
      <c r="J41" s="23">
        <v>0</v>
      </c>
      <c r="K41" s="23">
        <v>0</v>
      </c>
      <c r="T41" s="34" t="s">
        <v>139</v>
      </c>
      <c r="U41" s="34">
        <f>COUNTIF(K10:K19,"&gt;=75")+COUNTIF(K21:K30,"&gt;=75")+COUNTIF(K32:K42,"&gt;=75")</f>
        <v>0</v>
      </c>
    </row>
    <row r="42" spans="1:22" x14ac:dyDescent="0.4">
      <c r="A42" s="26">
        <v>31</v>
      </c>
      <c r="B42" s="25">
        <v>10.8</v>
      </c>
      <c r="C42" s="21">
        <v>2.7</v>
      </c>
      <c r="D42" s="21">
        <f t="shared" si="6"/>
        <v>8.1000000000000014</v>
      </c>
      <c r="E42" s="21">
        <v>6.8</v>
      </c>
      <c r="F42" s="24">
        <v>23</v>
      </c>
      <c r="G42" s="21">
        <v>0</v>
      </c>
      <c r="H42" s="23">
        <f t="shared" si="7"/>
        <v>94.2</v>
      </c>
      <c r="I42" s="22">
        <v>3.46</v>
      </c>
      <c r="J42" s="21">
        <v>0</v>
      </c>
      <c r="K42" s="21">
        <v>0</v>
      </c>
      <c r="T42" s="33" t="s">
        <v>138</v>
      </c>
      <c r="U42" s="33">
        <f>COUNTIF(K10:K19,"&gt;=100")+COUNTIF(K21:K30,"&gt;=100")+COUNTIF(K32:K42,"&gt;=100")</f>
        <v>0</v>
      </c>
    </row>
    <row r="43" spans="1:22" x14ac:dyDescent="0.4">
      <c r="A43" s="20" t="s">
        <v>137</v>
      </c>
      <c r="B43" s="19">
        <f t="shared" ref="B43:G43" si="8">AVERAGE(B32:B42)</f>
        <v>5.1454545454545446</v>
      </c>
      <c r="C43" s="17">
        <f t="shared" si="8"/>
        <v>-0.45454545454545436</v>
      </c>
      <c r="D43" s="17">
        <f t="shared" si="8"/>
        <v>5.6000000000000005</v>
      </c>
      <c r="E43" s="17">
        <f t="shared" si="8"/>
        <v>2.2981818181818183</v>
      </c>
      <c r="F43" s="18">
        <f t="shared" si="8"/>
        <v>23.727272727272727</v>
      </c>
      <c r="G43" s="17">
        <f t="shared" si="8"/>
        <v>2.7818181818181817</v>
      </c>
      <c r="H43" s="17">
        <f>SUM(H42-H30)</f>
        <v>30.600000000000009</v>
      </c>
      <c r="I43" s="16">
        <f>AVERAGE(I32:I42)</f>
        <v>0.8672727272727272</v>
      </c>
      <c r="J43" s="15">
        <f>SUM(J32:J42)</f>
        <v>0</v>
      </c>
      <c r="K43" s="15">
        <f>AVERAGE(K32:K42)</f>
        <v>9.3636363636363633</v>
      </c>
    </row>
    <row r="44" spans="1:22" x14ac:dyDescent="0.4">
      <c r="A44" s="14" t="s">
        <v>136</v>
      </c>
      <c r="B44" s="13">
        <f t="shared" ref="B44:G44" si="9">AVERAGE(B10:B19,B21:B30,B32:B42)</f>
        <v>2.6129032258064515</v>
      </c>
      <c r="C44" s="9">
        <f t="shared" si="9"/>
        <v>-2.8516129032258068</v>
      </c>
      <c r="D44" s="9">
        <f t="shared" si="9"/>
        <v>5.4645161290322584</v>
      </c>
      <c r="E44" s="9">
        <f t="shared" si="9"/>
        <v>-0.17935483870967722</v>
      </c>
      <c r="F44" s="12">
        <f t="shared" si="9"/>
        <v>20.806451612903224</v>
      </c>
      <c r="G44" s="9">
        <f t="shared" si="9"/>
        <v>3.0387096774193547</v>
      </c>
      <c r="H44" s="11">
        <f>MAX(H10:H19,H21:H30,H32:H42)</f>
        <v>94.2</v>
      </c>
      <c r="I44" s="10">
        <f>AVERAGE(I10:I19,I21:I30,I32:I42)</f>
        <v>0.99612903225806448</v>
      </c>
      <c r="J44" s="9">
        <f>SUM(J10:J19,J21:J30,J32:J42)</f>
        <v>48</v>
      </c>
      <c r="K44" s="9">
        <f>AVERAGE(K10:K19,K21:K30,K32:K42)</f>
        <v>14.419354838709678</v>
      </c>
    </row>
  </sheetData>
  <protectedRanges>
    <protectedRange sqref="B21:C30 B32:C42 R16 V17 V8:V9 V12:V13 W1 AM1 BC1 A3 B10:C19 R7:R9 E32:K42 E10:K19 E21:K30 R14" name="Bereich1"/>
    <protectedRange sqref="L1" name="Bereich1_1"/>
    <protectedRange sqref="Q16" name="Bereich1_2"/>
  </protectedRanges>
  <mergeCells count="10">
    <mergeCell ref="B7:B9"/>
    <mergeCell ref="C7:C9"/>
    <mergeCell ref="A1:K1"/>
    <mergeCell ref="L1:V1"/>
    <mergeCell ref="W1:AL1"/>
    <mergeCell ref="AM1:BB1"/>
    <mergeCell ref="A3:K3"/>
    <mergeCell ref="B6:E6"/>
    <mergeCell ref="G6:H6"/>
    <mergeCell ref="J6:K6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4" manualBreakCount="4">
    <brk id="11" max="43" man="1"/>
    <brk id="22" max="43" man="1"/>
    <brk id="38" max="43" man="1"/>
    <brk id="53" max="43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2"/>
  <dimension ref="A1:Q81"/>
  <sheetViews>
    <sheetView tabSelected="1" zoomScaleNormal="100" workbookViewId="0">
      <selection activeCell="C6" sqref="C6"/>
    </sheetView>
  </sheetViews>
  <sheetFormatPr baseColWidth="10" defaultRowHeight="12.7" x14ac:dyDescent="0.4"/>
  <cols>
    <col min="1" max="1" width="26.1171875" bestFit="1" customWidth="1"/>
    <col min="2" max="2" width="5.703125" bestFit="1" customWidth="1"/>
    <col min="3" max="14" width="9.41015625" customWidth="1"/>
    <col min="15" max="15" width="13.1171875" style="82" customWidth="1"/>
    <col min="16" max="16" width="10.8203125" style="82"/>
  </cols>
  <sheetData>
    <row r="1" spans="1:17" ht="20" x14ac:dyDescent="0.6">
      <c r="A1" s="109" t="s">
        <v>232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3" spans="1:17" x14ac:dyDescent="0.4">
      <c r="A3" s="1" t="s">
        <v>235</v>
      </c>
      <c r="I3" s="1"/>
    </row>
    <row r="5" spans="1:17" x14ac:dyDescent="0.4">
      <c r="B5" t="s">
        <v>99</v>
      </c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  <c r="O5" s="91" t="s">
        <v>54</v>
      </c>
      <c r="P5" s="92" t="s">
        <v>55</v>
      </c>
      <c r="Q5" s="5" t="s">
        <v>96</v>
      </c>
    </row>
    <row r="6" spans="1:17" x14ac:dyDescent="0.4">
      <c r="A6" t="s">
        <v>16</v>
      </c>
      <c r="B6" t="s">
        <v>100</v>
      </c>
      <c r="C6">
        <f>Jan!O7</f>
        <v>6.8</v>
      </c>
      <c r="D6">
        <f>Feb!O7</f>
        <v>15.7</v>
      </c>
      <c r="E6">
        <f>Mrz!O7</f>
        <v>19.8</v>
      </c>
      <c r="F6">
        <f>Apr!O7</f>
        <v>19.2</v>
      </c>
      <c r="G6">
        <f>Mai!O7</f>
        <v>22.5</v>
      </c>
      <c r="H6">
        <f>Jun!O7</f>
        <v>27.6</v>
      </c>
      <c r="I6">
        <f>Jul!O7</f>
        <v>25.8</v>
      </c>
      <c r="J6">
        <f>Aug!O7</f>
        <v>28.2</v>
      </c>
      <c r="K6">
        <f>Sep!O7</f>
        <v>24</v>
      </c>
      <c r="L6">
        <f>Okt!O7</f>
        <v>19</v>
      </c>
      <c r="M6">
        <f>Nov!O7</f>
        <v>12.3</v>
      </c>
      <c r="N6">
        <f>Dez!O7</f>
        <v>12.3</v>
      </c>
      <c r="O6" s="4">
        <f>AVERAGE(C6:N6)</f>
        <v>19.433333333333334</v>
      </c>
      <c r="P6" s="8"/>
      <c r="Q6" s="5" t="s">
        <v>97</v>
      </c>
    </row>
    <row r="7" spans="1:17" x14ac:dyDescent="0.4">
      <c r="A7" t="s">
        <v>17</v>
      </c>
      <c r="B7" t="s">
        <v>100</v>
      </c>
      <c r="C7">
        <f>Jan!P8</f>
        <v>-8.6</v>
      </c>
      <c r="D7">
        <f>Feb!P8</f>
        <v>-10.9</v>
      </c>
      <c r="E7">
        <f>Mrz!P8</f>
        <v>-6.5</v>
      </c>
      <c r="F7">
        <f>Apr!P8</f>
        <v>-6.6</v>
      </c>
      <c r="G7">
        <f>Mai!P8</f>
        <v>0.4</v>
      </c>
      <c r="H7">
        <f>Jun!P8</f>
        <v>8.3000000000000007</v>
      </c>
      <c r="I7">
        <f>Jul!P8</f>
        <v>8.6999999999999993</v>
      </c>
      <c r="J7">
        <f>Aug!P8</f>
        <v>6.9</v>
      </c>
      <c r="K7">
        <f>Sep!P8</f>
        <v>5.7</v>
      </c>
      <c r="L7">
        <f>Okt!P8</f>
        <v>0.7</v>
      </c>
      <c r="M7">
        <f>Nov!P8</f>
        <v>-5.8</v>
      </c>
      <c r="N7">
        <f>Dez!P8</f>
        <v>-9.4</v>
      </c>
      <c r="O7" s="4">
        <f>AVERAGE(C7:N7)</f>
        <v>-1.425</v>
      </c>
      <c r="Q7" s="6"/>
    </row>
    <row r="8" spans="1:17" x14ac:dyDescent="0.4">
      <c r="A8" t="s">
        <v>135</v>
      </c>
      <c r="B8" t="s">
        <v>100</v>
      </c>
      <c r="C8">
        <v>-12</v>
      </c>
      <c r="D8">
        <v>-17</v>
      </c>
      <c r="E8">
        <v>-11</v>
      </c>
      <c r="F8">
        <v>-12</v>
      </c>
      <c r="G8">
        <v>-2</v>
      </c>
      <c r="H8">
        <v>7</v>
      </c>
      <c r="I8">
        <v>7</v>
      </c>
      <c r="J8">
        <v>6</v>
      </c>
      <c r="K8">
        <v>5</v>
      </c>
    </row>
    <row r="9" spans="1:17" x14ac:dyDescent="0.4">
      <c r="A9" t="s">
        <v>51</v>
      </c>
      <c r="B9" t="s">
        <v>100</v>
      </c>
      <c r="C9" s="83">
        <f>Jan!N7</f>
        <v>0.28709677419354845</v>
      </c>
      <c r="D9" s="83">
        <f>Feb!N7</f>
        <v>6.6</v>
      </c>
      <c r="E9" s="83">
        <f>Mrz!N7</f>
        <v>7.6741935483870982</v>
      </c>
      <c r="F9" s="83">
        <f>Apr!N7</f>
        <v>10.729999999999997</v>
      </c>
      <c r="G9" s="83">
        <f>Mai!N7</f>
        <v>12.890322580645158</v>
      </c>
      <c r="H9" s="83">
        <f>Jun!N7</f>
        <v>22.02</v>
      </c>
      <c r="I9" s="83">
        <f>Jul!N7</f>
        <v>20.822580645161292</v>
      </c>
      <c r="J9" s="83">
        <f>Aug!N7</f>
        <v>19.677419354838712</v>
      </c>
      <c r="K9" s="83">
        <f>Sep!N7</f>
        <v>19.060000000000006</v>
      </c>
      <c r="L9" s="83">
        <f>Okt!N7</f>
        <v>12.43548387096774</v>
      </c>
      <c r="M9" s="83">
        <f>Nov!N7</f>
        <v>5.0866666666666651</v>
      </c>
      <c r="N9" s="83">
        <f>Dez!N7</f>
        <v>2.6129032258064515</v>
      </c>
      <c r="O9" s="4">
        <f>AVERAGE(C9:N9)</f>
        <v>11.658055555555556</v>
      </c>
      <c r="Q9" s="7">
        <v>-1.3</v>
      </c>
    </row>
    <row r="10" spans="1:17" x14ac:dyDescent="0.4">
      <c r="A10" t="s">
        <v>52</v>
      </c>
      <c r="B10" t="s">
        <v>100</v>
      </c>
      <c r="C10" s="83">
        <f>Jan!N8</f>
        <v>-3.8193548387096778</v>
      </c>
      <c r="D10" s="83">
        <f>Feb!N8</f>
        <v>-1.7857142857142738E-2</v>
      </c>
      <c r="E10" s="83">
        <f>Mrz!N8</f>
        <v>-8.0645161290322634E-2</v>
      </c>
      <c r="F10" s="83">
        <f>Apr!N8</f>
        <v>1.1533333333333333</v>
      </c>
      <c r="G10" s="83">
        <f>Mai!N8</f>
        <v>4.4806451612903233</v>
      </c>
      <c r="H10" s="83">
        <f>Jun!N8</f>
        <v>12.236666666666663</v>
      </c>
      <c r="I10" s="83">
        <f>Jul!N8</f>
        <v>12.187096774193549</v>
      </c>
      <c r="J10" s="83">
        <f>Aug!N8</f>
        <v>11.561290322580644</v>
      </c>
      <c r="K10" s="83">
        <f>Sep!N8</f>
        <v>10.876666666666667</v>
      </c>
      <c r="L10" s="83">
        <f>Okt!N8</f>
        <v>4.7612903225806438</v>
      </c>
      <c r="M10" s="83">
        <f>Nov!N8</f>
        <v>5.6666666666666789E-2</v>
      </c>
      <c r="N10" s="83">
        <f>Dez!N8</f>
        <v>-2.8516129032258068</v>
      </c>
      <c r="O10" s="4">
        <f>AVERAGE(C10:N10)</f>
        <v>4.2120154889912946</v>
      </c>
      <c r="Q10" s="7">
        <v>0.5</v>
      </c>
    </row>
    <row r="11" spans="1:17" x14ac:dyDescent="0.4">
      <c r="A11" t="s">
        <v>57</v>
      </c>
      <c r="B11" t="s">
        <v>100</v>
      </c>
      <c r="C11" s="83">
        <f>Jan!N9</f>
        <v>-1.65</v>
      </c>
      <c r="D11" s="83">
        <f>Feb!N9</f>
        <v>3.2714285714285714</v>
      </c>
      <c r="E11" s="83">
        <f>Mrz!N9</f>
        <v>3.54516129032258</v>
      </c>
      <c r="F11" s="83">
        <f>Apr!N9</f>
        <v>5.5866666666666669</v>
      </c>
      <c r="G11" s="83">
        <f>Mai!N9</f>
        <v>8.4225806451612897</v>
      </c>
      <c r="H11" s="83">
        <f>Jun!N9</f>
        <v>16.58966666666667</v>
      </c>
      <c r="I11" s="83">
        <f>Jul!N9</f>
        <v>15.941290322580643</v>
      </c>
      <c r="J11" s="83">
        <f>Aug!N9</f>
        <v>15.029032258064516</v>
      </c>
      <c r="K11" s="83">
        <f>Sep!N9</f>
        <v>14.626666666666669</v>
      </c>
      <c r="L11" s="83">
        <f>Okt!N9</f>
        <v>8.1741935483870982</v>
      </c>
      <c r="M11" s="83">
        <f>Nov!N9</f>
        <v>2.2699999999999991</v>
      </c>
      <c r="N11" s="83">
        <f>Dez!N9</f>
        <v>-0.17935483870967722</v>
      </c>
      <c r="O11" s="4">
        <f>AVERAGE(C11:N11)</f>
        <v>7.635610983102918</v>
      </c>
      <c r="Q11" s="7">
        <v>-0.5</v>
      </c>
    </row>
    <row r="12" spans="1:17" x14ac:dyDescent="0.4">
      <c r="C12" t="s">
        <v>0</v>
      </c>
      <c r="D12" t="s">
        <v>1</v>
      </c>
      <c r="E12" t="s">
        <v>2</v>
      </c>
      <c r="F12" t="s">
        <v>3</v>
      </c>
      <c r="G12" t="s">
        <v>4</v>
      </c>
      <c r="H12" t="s">
        <v>5</v>
      </c>
      <c r="I12" t="s">
        <v>6</v>
      </c>
      <c r="J12" t="s">
        <v>7</v>
      </c>
      <c r="K12" t="s">
        <v>8</v>
      </c>
      <c r="L12" t="s">
        <v>9</v>
      </c>
      <c r="M12" t="s">
        <v>10</v>
      </c>
      <c r="N12" t="s">
        <v>11</v>
      </c>
      <c r="Q12" s="6"/>
    </row>
    <row r="13" spans="1:17" x14ac:dyDescent="0.4">
      <c r="A13" t="s">
        <v>18</v>
      </c>
      <c r="B13" t="s">
        <v>101</v>
      </c>
      <c r="C13">
        <v>99</v>
      </c>
      <c r="D13">
        <v>98</v>
      </c>
      <c r="E13">
        <v>98</v>
      </c>
      <c r="F13">
        <v>97</v>
      </c>
      <c r="G13">
        <v>98</v>
      </c>
      <c r="H13">
        <v>99</v>
      </c>
      <c r="I13">
        <v>99</v>
      </c>
      <c r="J13">
        <v>99</v>
      </c>
      <c r="K13">
        <v>99</v>
      </c>
      <c r="L13">
        <v>99</v>
      </c>
      <c r="M13">
        <v>99</v>
      </c>
      <c r="N13">
        <v>99</v>
      </c>
      <c r="O13" s="4">
        <f>AVERAGE(C13:N13)</f>
        <v>98.583333333333329</v>
      </c>
      <c r="Q13" s="6"/>
    </row>
    <row r="14" spans="1:17" x14ac:dyDescent="0.4">
      <c r="A14" t="s">
        <v>19</v>
      </c>
      <c r="B14" t="s">
        <v>101</v>
      </c>
      <c r="C14">
        <v>58</v>
      </c>
      <c r="D14">
        <v>36</v>
      </c>
      <c r="E14">
        <v>39</v>
      </c>
      <c r="F14">
        <v>35</v>
      </c>
      <c r="G14">
        <v>37</v>
      </c>
      <c r="H14">
        <v>35</v>
      </c>
      <c r="I14">
        <v>36</v>
      </c>
      <c r="J14">
        <v>43</v>
      </c>
      <c r="K14">
        <v>52</v>
      </c>
      <c r="L14">
        <v>48</v>
      </c>
      <c r="M14">
        <v>56</v>
      </c>
      <c r="N14">
        <v>51</v>
      </c>
      <c r="O14" s="4">
        <f>AVERAGE(C14:N14)</f>
        <v>43.833333333333336</v>
      </c>
      <c r="Q14" s="6"/>
    </row>
    <row r="15" spans="1:17" x14ac:dyDescent="0.4">
      <c r="A15" t="s">
        <v>58</v>
      </c>
      <c r="B15" t="s">
        <v>101</v>
      </c>
      <c r="C15">
        <v>90</v>
      </c>
      <c r="D15">
        <v>82</v>
      </c>
      <c r="E15">
        <v>78</v>
      </c>
      <c r="F15">
        <v>70</v>
      </c>
      <c r="G15">
        <v>78</v>
      </c>
      <c r="H15">
        <v>80</v>
      </c>
      <c r="I15">
        <v>85</v>
      </c>
      <c r="J15">
        <v>82</v>
      </c>
      <c r="K15">
        <v>83</v>
      </c>
      <c r="L15">
        <v>83</v>
      </c>
      <c r="M15">
        <v>91</v>
      </c>
      <c r="N15">
        <v>92</v>
      </c>
      <c r="O15" s="4">
        <f>AVERAGE(C15:N15)</f>
        <v>82.833333333333329</v>
      </c>
      <c r="Q15" s="7">
        <v>4.5999999999999996</v>
      </c>
    </row>
    <row r="16" spans="1:17" x14ac:dyDescent="0.4"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I16" t="s">
        <v>6</v>
      </c>
      <c r="J16" t="s">
        <v>7</v>
      </c>
      <c r="K16" t="s">
        <v>8</v>
      </c>
      <c r="L16" t="s">
        <v>9</v>
      </c>
      <c r="M16" t="s">
        <v>10</v>
      </c>
      <c r="N16" t="s">
        <v>11</v>
      </c>
      <c r="Q16" s="6"/>
    </row>
    <row r="17" spans="1:17" x14ac:dyDescent="0.4">
      <c r="A17" t="s">
        <v>62</v>
      </c>
      <c r="B17" t="s">
        <v>102</v>
      </c>
      <c r="C17">
        <f>Jan!O11</f>
        <v>61</v>
      </c>
      <c r="D17">
        <f>Feb!O11</f>
        <v>55</v>
      </c>
      <c r="E17">
        <f>Mrz!O11</f>
        <v>76</v>
      </c>
      <c r="F17">
        <f>Apr!O11</f>
        <v>53</v>
      </c>
      <c r="G17">
        <f>Mai!O11</f>
        <v>56</v>
      </c>
      <c r="H17">
        <f>Jun!O11</f>
        <v>72</v>
      </c>
      <c r="I17">
        <f>Jul!O11</f>
        <v>68</v>
      </c>
      <c r="J17">
        <f>Aug!O11</f>
        <v>63</v>
      </c>
      <c r="K17">
        <f>Sep!O11</f>
        <v>47</v>
      </c>
      <c r="L17">
        <f>Okt!O11</f>
        <v>69</v>
      </c>
      <c r="M17">
        <f>Nov!O11</f>
        <v>47</v>
      </c>
      <c r="N17">
        <f>Dez!O11</f>
        <v>74</v>
      </c>
      <c r="O17" s="4">
        <f>AVERAGE(C17:N17)</f>
        <v>61.75</v>
      </c>
      <c r="Q17" s="6"/>
    </row>
    <row r="18" spans="1:17" x14ac:dyDescent="0.4">
      <c r="A18" t="s">
        <v>63</v>
      </c>
      <c r="B18" t="s">
        <v>102</v>
      </c>
      <c r="C18">
        <f>Jan!P11</f>
        <v>0</v>
      </c>
      <c r="D18">
        <f>Feb!P11</f>
        <v>10</v>
      </c>
      <c r="E18">
        <f>Mrz!P11</f>
        <v>10</v>
      </c>
      <c r="F18">
        <f>Apr!P11</f>
        <v>19</v>
      </c>
      <c r="G18">
        <f>Mai!P11</f>
        <v>19</v>
      </c>
      <c r="H18">
        <f>Jun!P11</f>
        <v>16</v>
      </c>
      <c r="I18">
        <f>Jul!P11</f>
        <v>14</v>
      </c>
      <c r="J18">
        <f>Aug!P11</f>
        <v>13</v>
      </c>
      <c r="K18">
        <f>Sep!P11</f>
        <v>8</v>
      </c>
      <c r="L18">
        <f>Okt!P11</f>
        <v>7</v>
      </c>
      <c r="M18">
        <f>Nov!P11</f>
        <v>8</v>
      </c>
      <c r="N18">
        <f>Dez!P11</f>
        <v>7</v>
      </c>
      <c r="O18" s="4">
        <f>AVERAGE(C18:N18)</f>
        <v>10.916666666666666</v>
      </c>
      <c r="Q18" s="6"/>
    </row>
    <row r="19" spans="1:17" x14ac:dyDescent="0.4">
      <c r="C19" t="s">
        <v>0</v>
      </c>
      <c r="D19" t="s">
        <v>1</v>
      </c>
      <c r="E19" t="s">
        <v>2</v>
      </c>
      <c r="F19" t="s">
        <v>3</v>
      </c>
      <c r="G19" t="s">
        <v>4</v>
      </c>
      <c r="H19" t="s">
        <v>5</v>
      </c>
      <c r="I19" t="s">
        <v>6</v>
      </c>
      <c r="J19" t="s">
        <v>7</v>
      </c>
      <c r="K19" t="s">
        <v>8</v>
      </c>
      <c r="L19" t="s">
        <v>9</v>
      </c>
      <c r="M19" t="s">
        <v>10</v>
      </c>
      <c r="N19" t="s">
        <v>11</v>
      </c>
      <c r="Q19" s="6"/>
    </row>
    <row r="20" spans="1:17" x14ac:dyDescent="0.4">
      <c r="A20" t="s">
        <v>20</v>
      </c>
      <c r="B20" t="s">
        <v>103</v>
      </c>
      <c r="C20">
        <v>1028.9000000000001</v>
      </c>
      <c r="D20">
        <v>1039.4000000000001</v>
      </c>
      <c r="E20">
        <v>1033.0999999999999</v>
      </c>
      <c r="F20">
        <v>1028.8</v>
      </c>
      <c r="G20">
        <v>1024.2</v>
      </c>
      <c r="H20">
        <v>1021.6</v>
      </c>
      <c r="I20">
        <v>1022.5</v>
      </c>
      <c r="J20">
        <v>1021.1</v>
      </c>
      <c r="K20">
        <v>1027.0999999999999</v>
      </c>
      <c r="L20">
        <v>1027.0999999999999</v>
      </c>
      <c r="M20">
        <v>1033</v>
      </c>
      <c r="N20">
        <v>1038.2</v>
      </c>
      <c r="O20" s="4">
        <f>AVERAGE(C20:N20)</f>
        <v>1028.7500000000002</v>
      </c>
      <c r="Q20" s="6"/>
    </row>
    <row r="21" spans="1:17" x14ac:dyDescent="0.4">
      <c r="A21" t="s">
        <v>21</v>
      </c>
      <c r="B21" t="s">
        <v>103</v>
      </c>
      <c r="C21">
        <v>990.7</v>
      </c>
      <c r="D21">
        <v>992.3</v>
      </c>
      <c r="E21">
        <v>1006.8</v>
      </c>
      <c r="F21">
        <v>1001.6</v>
      </c>
      <c r="G21">
        <v>1002.9</v>
      </c>
      <c r="H21">
        <v>1000.9</v>
      </c>
      <c r="I21">
        <v>1005.1</v>
      </c>
      <c r="J21">
        <v>1003.3</v>
      </c>
      <c r="K21">
        <v>1009.1</v>
      </c>
      <c r="L21">
        <v>1003.9</v>
      </c>
      <c r="M21">
        <v>991.1</v>
      </c>
      <c r="N21">
        <v>996.9</v>
      </c>
      <c r="O21" s="4">
        <f>AVERAGE(C21:N21)</f>
        <v>1000.3833333333333</v>
      </c>
      <c r="Q21" s="6"/>
    </row>
    <row r="22" spans="1:17" ht="12.75" customHeight="1" x14ac:dyDescent="0.4">
      <c r="A22" t="s">
        <v>59</v>
      </c>
      <c r="B22" t="s">
        <v>103</v>
      </c>
      <c r="C22">
        <v>1013.3</v>
      </c>
      <c r="D22">
        <v>1018.1</v>
      </c>
      <c r="E22">
        <v>1022.1</v>
      </c>
      <c r="F22">
        <v>1016.6</v>
      </c>
      <c r="G22">
        <v>1013.9</v>
      </c>
      <c r="H22">
        <v>1015.1</v>
      </c>
      <c r="I22">
        <v>1013.6</v>
      </c>
      <c r="J22">
        <v>1015.1</v>
      </c>
      <c r="K22">
        <v>1017.2</v>
      </c>
      <c r="L22">
        <v>1019.3</v>
      </c>
      <c r="M22">
        <v>1016.3</v>
      </c>
      <c r="N22">
        <v>1017.8</v>
      </c>
      <c r="O22" s="4">
        <f>AVERAGE(C22:N22)</f>
        <v>1016.5333333333333</v>
      </c>
      <c r="Q22" s="6"/>
    </row>
    <row r="23" spans="1:17" x14ac:dyDescent="0.4">
      <c r="C23" t="s">
        <v>0</v>
      </c>
      <c r="D23" t="s">
        <v>1</v>
      </c>
      <c r="E23" t="s">
        <v>2</v>
      </c>
      <c r="F23" t="s">
        <v>3</v>
      </c>
      <c r="G23" t="s">
        <v>4</v>
      </c>
      <c r="H23" t="s">
        <v>5</v>
      </c>
      <c r="I23" t="s">
        <v>6</v>
      </c>
      <c r="J23" t="s">
        <v>7</v>
      </c>
      <c r="K23" t="s">
        <v>8</v>
      </c>
      <c r="L23" t="s">
        <v>9</v>
      </c>
      <c r="M23" t="s">
        <v>10</v>
      </c>
      <c r="N23" t="s">
        <v>11</v>
      </c>
      <c r="P23" s="8"/>
      <c r="Q23" s="6"/>
    </row>
    <row r="24" spans="1:17" x14ac:dyDescent="0.4">
      <c r="A24" t="s">
        <v>64</v>
      </c>
      <c r="B24" t="s">
        <v>104</v>
      </c>
      <c r="C24">
        <f>Jan!O13</f>
        <v>37</v>
      </c>
      <c r="D24">
        <f>Feb!O13</f>
        <v>15.6</v>
      </c>
      <c r="E24">
        <f>Mrz!O13</f>
        <v>18</v>
      </c>
      <c r="F24">
        <f>Apr!O13</f>
        <v>19.600000000000001</v>
      </c>
      <c r="G24">
        <f>Mai!O13</f>
        <v>25</v>
      </c>
      <c r="H24">
        <f>Jun!O13</f>
        <v>49.8</v>
      </c>
      <c r="I24">
        <f>Jul!O13</f>
        <v>51.6</v>
      </c>
      <c r="J24">
        <f>Aug!O13</f>
        <v>24.8</v>
      </c>
      <c r="K24">
        <f>Sep!O13</f>
        <v>34.799999999999997</v>
      </c>
      <c r="L24">
        <f>Okt!O13</f>
        <v>8.6</v>
      </c>
      <c r="M24">
        <f>Nov!O13</f>
        <v>16</v>
      </c>
      <c r="N24">
        <f>Dez!O13</f>
        <v>21.4</v>
      </c>
      <c r="O24" s="4">
        <f>AVERAGE(C24:N24)</f>
        <v>26.849999999999998</v>
      </c>
    </row>
    <row r="25" spans="1:17" x14ac:dyDescent="0.4">
      <c r="A25" t="s">
        <v>37</v>
      </c>
      <c r="B25" t="s">
        <v>104</v>
      </c>
      <c r="C25">
        <f>Jan!Q14</f>
        <v>168.8</v>
      </c>
      <c r="D25">
        <f>Feb!Q14</f>
        <v>42</v>
      </c>
      <c r="E25">
        <f>Mrz!Q14</f>
        <v>79.8</v>
      </c>
      <c r="F25">
        <f>Apr!Q14</f>
        <v>71</v>
      </c>
      <c r="G25">
        <f>Mai!Q14</f>
        <v>194.8</v>
      </c>
      <c r="H25">
        <f>Jun!Q14</f>
        <v>241.59999999999997</v>
      </c>
      <c r="I25">
        <f>Jul!Q14</f>
        <v>335.19999999999993</v>
      </c>
      <c r="J25">
        <f>Aug!Q14</f>
        <v>111.80000000000003</v>
      </c>
      <c r="K25">
        <f>Sep!Q14</f>
        <v>73.600000000000009</v>
      </c>
      <c r="L25">
        <f>Okt!Q14</f>
        <v>34.400000000000013</v>
      </c>
      <c r="M25">
        <f>Nov!Q14</f>
        <v>48.600000000000016</v>
      </c>
      <c r="N25">
        <f>Dez!Q14</f>
        <v>94.2</v>
      </c>
      <c r="O25" s="4">
        <f>AVERAGE(C25:N25)</f>
        <v>124.64999999999998</v>
      </c>
      <c r="P25" s="92">
        <f>SUM(C25:N25)</f>
        <v>1495.7999999999997</v>
      </c>
      <c r="Q25" s="7">
        <v>210.8</v>
      </c>
    </row>
    <row r="26" spans="1:17" x14ac:dyDescent="0.4">
      <c r="C26" t="s">
        <v>0</v>
      </c>
      <c r="D26" t="s">
        <v>1</v>
      </c>
      <c r="E26" t="s">
        <v>2</v>
      </c>
      <c r="F26" t="s">
        <v>3</v>
      </c>
      <c r="G26" t="s">
        <v>4</v>
      </c>
      <c r="H26" t="s">
        <v>5</v>
      </c>
      <c r="I26" t="s">
        <v>6</v>
      </c>
      <c r="J26" t="s">
        <v>7</v>
      </c>
      <c r="K26" t="s">
        <v>8</v>
      </c>
      <c r="L26" t="s">
        <v>9</v>
      </c>
      <c r="M26" t="s">
        <v>10</v>
      </c>
      <c r="N26" t="s">
        <v>11</v>
      </c>
      <c r="Q26" s="6"/>
    </row>
    <row r="27" spans="1:17" x14ac:dyDescent="0.4">
      <c r="A27" t="s">
        <v>56</v>
      </c>
      <c r="B27" t="s">
        <v>105</v>
      </c>
      <c r="C27" s="83">
        <f>Jan!O16</f>
        <v>4</v>
      </c>
      <c r="D27" s="83">
        <f>Feb!O16</f>
        <v>7.98</v>
      </c>
      <c r="E27" s="83">
        <f>Mrz!O16</f>
        <v>9.93</v>
      </c>
      <c r="F27" s="83">
        <f>Apr!O16</f>
        <v>11.82</v>
      </c>
      <c r="G27" s="83">
        <f>Mai!O16</f>
        <v>12.6</v>
      </c>
      <c r="H27" s="83">
        <f>Jun!O16</f>
        <v>12.7</v>
      </c>
      <c r="I27" s="83">
        <f>Jul!O16</f>
        <v>12.55</v>
      </c>
      <c r="J27" s="83">
        <f>Aug!O16</f>
        <v>11.43</v>
      </c>
      <c r="K27" s="83">
        <f>Sep!O16</f>
        <v>9.82</v>
      </c>
      <c r="L27" s="83">
        <f>Okt!O16</f>
        <v>8.2799999999999994</v>
      </c>
      <c r="M27" s="83">
        <f>Nov!O16</f>
        <v>5.33</v>
      </c>
      <c r="N27" s="83">
        <f>Dez!O16</f>
        <v>3.46</v>
      </c>
      <c r="O27" s="4">
        <f>AVERAGE(C27:N27)</f>
        <v>9.1583333333333314</v>
      </c>
      <c r="Q27" s="6"/>
    </row>
    <row r="28" spans="1:17" x14ac:dyDescent="0.4">
      <c r="A28" t="s">
        <v>39</v>
      </c>
      <c r="B28" t="s">
        <v>105</v>
      </c>
      <c r="C28" s="83">
        <f>Jan!Q16</f>
        <v>37.75</v>
      </c>
      <c r="D28" s="83">
        <f>Feb!Q16</f>
        <v>86.5</v>
      </c>
      <c r="E28" s="83">
        <f>Mrz!Q16</f>
        <v>153.94</v>
      </c>
      <c r="F28" s="83">
        <f>Apr!Q16</f>
        <v>209.78</v>
      </c>
      <c r="G28" s="83">
        <f>Mai!Q16</f>
        <v>157.33000000000001</v>
      </c>
      <c r="H28" s="83">
        <f>Jun!Q16</f>
        <v>221.17</v>
      </c>
      <c r="I28" s="83">
        <f>Jul!Q16</f>
        <v>178.92</v>
      </c>
      <c r="J28" s="83">
        <f>Aug!Q16</f>
        <v>171.45</v>
      </c>
      <c r="K28" s="83">
        <f>Sep!Q16</f>
        <v>182.38</v>
      </c>
      <c r="L28" s="83">
        <f>Okt!Q16</f>
        <v>146.55000000000001</v>
      </c>
      <c r="M28" s="83">
        <f>Nov!Q16</f>
        <v>47.4</v>
      </c>
      <c r="N28" s="83">
        <f>Dez!Q16</f>
        <v>30.87</v>
      </c>
      <c r="O28" s="4">
        <f>AVERAGE(C28:N28)</f>
        <v>135.33666666666667</v>
      </c>
      <c r="P28" s="93">
        <f>SUM(C28:N28)</f>
        <v>1624.0400000000002</v>
      </c>
      <c r="Q28" s="7">
        <v>-173</v>
      </c>
    </row>
    <row r="29" spans="1:17" x14ac:dyDescent="0.4">
      <c r="C29" t="s">
        <v>0</v>
      </c>
      <c r="D29" t="s">
        <v>1</v>
      </c>
      <c r="E29" t="s">
        <v>2</v>
      </c>
      <c r="F29" t="s">
        <v>3</v>
      </c>
      <c r="G29" t="s">
        <v>4</v>
      </c>
      <c r="H29" t="s">
        <v>5</v>
      </c>
      <c r="I29" t="s">
        <v>6</v>
      </c>
      <c r="J29" t="s">
        <v>7</v>
      </c>
      <c r="K29" t="s">
        <v>8</v>
      </c>
      <c r="L29" t="s">
        <v>9</v>
      </c>
      <c r="M29" t="s">
        <v>10</v>
      </c>
      <c r="N29" t="s">
        <v>11</v>
      </c>
      <c r="O29" s="4"/>
      <c r="Q29" s="6"/>
    </row>
    <row r="30" spans="1:17" ht="14.7" x14ac:dyDescent="0.4">
      <c r="A30" t="s">
        <v>65</v>
      </c>
      <c r="B30" t="s">
        <v>106</v>
      </c>
      <c r="C30">
        <v>605</v>
      </c>
      <c r="D30">
        <v>733</v>
      </c>
      <c r="E30">
        <v>1129</v>
      </c>
      <c r="F30">
        <v>1167</v>
      </c>
      <c r="G30">
        <v>1419</v>
      </c>
      <c r="H30">
        <v>1345</v>
      </c>
      <c r="I30">
        <v>1383</v>
      </c>
      <c r="J30">
        <v>1290</v>
      </c>
      <c r="K30">
        <v>991</v>
      </c>
      <c r="L30">
        <v>947</v>
      </c>
      <c r="M30">
        <v>666</v>
      </c>
      <c r="N30">
        <v>427</v>
      </c>
      <c r="O30" s="4">
        <f>AVERAGE(C30:N30)</f>
        <v>1008.5</v>
      </c>
      <c r="Q30" s="6"/>
    </row>
    <row r="31" spans="1:17" ht="14.7" x14ac:dyDescent="0.4">
      <c r="A31" t="s">
        <v>66</v>
      </c>
      <c r="B31" t="s">
        <v>107</v>
      </c>
      <c r="C31">
        <v>97</v>
      </c>
      <c r="D31">
        <v>212</v>
      </c>
      <c r="E31">
        <v>289</v>
      </c>
      <c r="F31">
        <v>376</v>
      </c>
      <c r="G31">
        <v>308</v>
      </c>
      <c r="H31">
        <v>383</v>
      </c>
      <c r="I31">
        <v>323</v>
      </c>
      <c r="J31">
        <v>318</v>
      </c>
      <c r="K31">
        <v>304</v>
      </c>
      <c r="L31">
        <v>239</v>
      </c>
      <c r="M31">
        <v>102</v>
      </c>
      <c r="N31">
        <v>93</v>
      </c>
      <c r="O31" s="4">
        <f>AVERAGE(C31:N31)</f>
        <v>253.66666666666666</v>
      </c>
      <c r="Q31" s="6"/>
    </row>
    <row r="32" spans="1:17" x14ac:dyDescent="0.4">
      <c r="C32" t="s">
        <v>0</v>
      </c>
      <c r="D32" t="s">
        <v>1</v>
      </c>
      <c r="E32" t="s">
        <v>2</v>
      </c>
      <c r="F32" t="s">
        <v>3</v>
      </c>
      <c r="G32" t="s">
        <v>4</v>
      </c>
      <c r="H32" t="s">
        <v>5</v>
      </c>
      <c r="I32" t="s">
        <v>6</v>
      </c>
      <c r="J32" t="s">
        <v>7</v>
      </c>
      <c r="K32" t="s">
        <v>8</v>
      </c>
      <c r="L32" t="s">
        <v>9</v>
      </c>
      <c r="M32" t="s">
        <v>10</v>
      </c>
      <c r="N32" t="s">
        <v>11</v>
      </c>
      <c r="Q32" s="6"/>
    </row>
    <row r="33" spans="1:17" x14ac:dyDescent="0.4">
      <c r="A33" t="s">
        <v>67</v>
      </c>
      <c r="C33">
        <v>1.3</v>
      </c>
      <c r="D33">
        <v>2.7</v>
      </c>
      <c r="E33">
        <v>4.2</v>
      </c>
      <c r="F33">
        <v>5.6</v>
      </c>
      <c r="G33">
        <v>7.8</v>
      </c>
      <c r="H33">
        <v>9</v>
      </c>
      <c r="I33">
        <v>8.8000000000000007</v>
      </c>
      <c r="J33">
        <v>7.8</v>
      </c>
      <c r="K33">
        <v>5.4</v>
      </c>
      <c r="L33">
        <v>3.5</v>
      </c>
      <c r="M33">
        <v>1.6</v>
      </c>
      <c r="N33">
        <v>0.9</v>
      </c>
      <c r="O33" s="4">
        <f>AVERAGE(C33:N33)</f>
        <v>4.8833333333333329</v>
      </c>
      <c r="Q33" s="6"/>
    </row>
    <row r="34" spans="1:17" x14ac:dyDescent="0.4">
      <c r="A34" t="s">
        <v>68</v>
      </c>
      <c r="C34">
        <v>0.6</v>
      </c>
      <c r="D34">
        <v>1.1000000000000001</v>
      </c>
      <c r="E34">
        <v>1.5</v>
      </c>
      <c r="F34">
        <v>2.1</v>
      </c>
      <c r="G34">
        <v>2.2999999999999998</v>
      </c>
      <c r="H34">
        <v>3.3</v>
      </c>
      <c r="I34">
        <v>2.8</v>
      </c>
      <c r="J34">
        <v>2.5</v>
      </c>
      <c r="K34">
        <v>2.1</v>
      </c>
      <c r="L34">
        <v>1.3</v>
      </c>
      <c r="M34">
        <v>0.7</v>
      </c>
      <c r="N34">
        <v>0.6</v>
      </c>
      <c r="O34" s="4">
        <f>AVERAGE(C34:N34)</f>
        <v>1.7416666666666669</v>
      </c>
      <c r="Q34" s="6"/>
    </row>
    <row r="35" spans="1:17" x14ac:dyDescent="0.4">
      <c r="C35" t="s">
        <v>0</v>
      </c>
      <c r="D35" t="s">
        <v>1</v>
      </c>
      <c r="E35" t="s">
        <v>2</v>
      </c>
      <c r="F35" t="s">
        <v>3</v>
      </c>
      <c r="G35" t="s">
        <v>4</v>
      </c>
      <c r="H35" t="s">
        <v>5</v>
      </c>
      <c r="I35" t="s">
        <v>6</v>
      </c>
      <c r="J35" t="s">
        <v>7</v>
      </c>
      <c r="K35" t="s">
        <v>8</v>
      </c>
      <c r="L35" t="s">
        <v>9</v>
      </c>
      <c r="M35" t="s">
        <v>10</v>
      </c>
      <c r="N35" t="s">
        <v>11</v>
      </c>
      <c r="Q35" s="6"/>
    </row>
    <row r="36" spans="1:17" x14ac:dyDescent="0.4">
      <c r="A36" t="s">
        <v>53</v>
      </c>
      <c r="B36" t="s">
        <v>108</v>
      </c>
      <c r="C36" s="83">
        <f>Jan!N19</f>
        <v>13.193548387096774</v>
      </c>
      <c r="D36" s="83">
        <f>Feb!N19</f>
        <v>1.3928571428571428</v>
      </c>
      <c r="E36" s="83">
        <f>Mrz!N19</f>
        <v>5.064516129032258</v>
      </c>
      <c r="F36" s="83">
        <f>Apr!N19</f>
        <v>0.6333333333333333</v>
      </c>
      <c r="G36" s="83">
        <f>Mai!N19</f>
        <v>0</v>
      </c>
      <c r="H36" s="83">
        <f>Jun!N19</f>
        <v>0</v>
      </c>
      <c r="I36" s="83">
        <f>Jul!N19</f>
        <v>0</v>
      </c>
      <c r="J36" s="83">
        <f>Aug!N19</f>
        <v>0</v>
      </c>
      <c r="K36" s="83">
        <f>Sep!N19</f>
        <v>0</v>
      </c>
      <c r="L36" s="83">
        <f>Okt!N19</f>
        <v>0</v>
      </c>
      <c r="M36" s="83">
        <f>Nov!N19</f>
        <v>1.4</v>
      </c>
      <c r="N36" s="83">
        <f>Dez!N19</f>
        <v>14.419354838709678</v>
      </c>
      <c r="O36" s="4">
        <f>AVERAGE(C36:N36)</f>
        <v>3.0086341525857652</v>
      </c>
      <c r="Q36" s="6"/>
    </row>
    <row r="37" spans="1:17" x14ac:dyDescent="0.4">
      <c r="A37" t="s">
        <v>40</v>
      </c>
      <c r="B37" t="s">
        <v>108</v>
      </c>
      <c r="C37">
        <f>Jan!O19</f>
        <v>38</v>
      </c>
      <c r="D37">
        <f>Feb!O19</f>
        <v>7</v>
      </c>
      <c r="E37">
        <f>Mrz!O19</f>
        <v>19</v>
      </c>
      <c r="F37">
        <f>Apr!O19</f>
        <v>8</v>
      </c>
      <c r="G37">
        <f>Mai!O19</f>
        <v>0</v>
      </c>
      <c r="H37">
        <f>Jun!O19</f>
        <v>0</v>
      </c>
      <c r="I37">
        <f>Jul!O19</f>
        <v>0</v>
      </c>
      <c r="J37">
        <f>Aug!O19</f>
        <v>0</v>
      </c>
      <c r="K37">
        <f>Sep!O19</f>
        <v>0</v>
      </c>
      <c r="L37">
        <f>Okt!O19</f>
        <v>0</v>
      </c>
      <c r="M37">
        <f>Nov!O19</f>
        <v>18</v>
      </c>
      <c r="N37">
        <f>Dez!O19</f>
        <v>31</v>
      </c>
      <c r="O37" s="4">
        <f>AVERAGE(C37:N37)</f>
        <v>10.083333333333334</v>
      </c>
      <c r="Q37" s="6"/>
    </row>
    <row r="38" spans="1:17" x14ac:dyDescent="0.4">
      <c r="A38" t="s">
        <v>98</v>
      </c>
      <c r="B38" t="s">
        <v>108</v>
      </c>
      <c r="C38">
        <f>Jan!Q18</f>
        <v>97</v>
      </c>
      <c r="D38">
        <f>Feb!Q18</f>
        <v>12</v>
      </c>
      <c r="E38">
        <f>Mrz!Q18</f>
        <v>37</v>
      </c>
      <c r="F38">
        <f>Apr!Q18</f>
        <v>14</v>
      </c>
      <c r="G38">
        <f>Mai!Q18</f>
        <v>0</v>
      </c>
      <c r="H38">
        <f>Jun!Q18</f>
        <v>0</v>
      </c>
      <c r="I38">
        <f>Jul!Q18</f>
        <v>0</v>
      </c>
      <c r="J38">
        <f>Aug!Q18</f>
        <v>0</v>
      </c>
      <c r="K38">
        <f>Sep!Q18</f>
        <v>0</v>
      </c>
      <c r="L38">
        <f>Okt!Q18</f>
        <v>0</v>
      </c>
      <c r="M38">
        <f>Nov!Q18</f>
        <v>21</v>
      </c>
      <c r="N38">
        <f>Dez!Q18</f>
        <v>48</v>
      </c>
      <c r="O38" s="4">
        <f>AVERAGE(C38:N38)</f>
        <v>19.083333333333332</v>
      </c>
      <c r="P38" s="93">
        <f>SUM(C38:N38)</f>
        <v>229</v>
      </c>
      <c r="Q38" s="6"/>
    </row>
    <row r="39" spans="1:17" x14ac:dyDescent="0.4">
      <c r="C39" t="s">
        <v>0</v>
      </c>
      <c r="D39" t="s">
        <v>1</v>
      </c>
      <c r="E39" t="s">
        <v>2</v>
      </c>
      <c r="F39" t="s">
        <v>3</v>
      </c>
      <c r="G39" t="s">
        <v>4</v>
      </c>
      <c r="H39" t="s">
        <v>5</v>
      </c>
      <c r="I39" t="s">
        <v>6</v>
      </c>
      <c r="J39" t="s">
        <v>7</v>
      </c>
      <c r="K39" t="s">
        <v>8</v>
      </c>
      <c r="L39" t="s">
        <v>9</v>
      </c>
      <c r="M39" t="s">
        <v>10</v>
      </c>
      <c r="N39" t="s">
        <v>11</v>
      </c>
      <c r="Q39" s="6"/>
    </row>
    <row r="40" spans="1:17" x14ac:dyDescent="0.4">
      <c r="A40" t="s">
        <v>127</v>
      </c>
      <c r="C40">
        <f>Jan!U7</f>
        <v>0</v>
      </c>
      <c r="D40">
        <f>Feb!U7</f>
        <v>2</v>
      </c>
      <c r="E40">
        <f>Mrz!U7</f>
        <v>0</v>
      </c>
      <c r="F40">
        <f>Apr!U7</f>
        <v>0</v>
      </c>
      <c r="G40">
        <f>Mai!U7</f>
        <v>0</v>
      </c>
      <c r="H40">
        <f>Jun!U7</f>
        <v>0</v>
      </c>
      <c r="I40">
        <f>Jul!U7</f>
        <v>0</v>
      </c>
      <c r="J40">
        <f>Aug!U7</f>
        <v>0</v>
      </c>
      <c r="K40">
        <f>Sep!U7</f>
        <v>0</v>
      </c>
      <c r="L40">
        <f>Okt!U7</f>
        <v>0</v>
      </c>
      <c r="M40">
        <f>Nov!U7</f>
        <v>0</v>
      </c>
      <c r="N40">
        <f>Dez!U7</f>
        <v>0</v>
      </c>
      <c r="O40" s="4">
        <f t="shared" ref="O40:O46" si="0">AVERAGE(C40:N40)</f>
        <v>0.16666666666666666</v>
      </c>
      <c r="P40" s="93">
        <f t="shared" ref="P40:P46" si="1">SUM(C40:N40)</f>
        <v>2</v>
      </c>
      <c r="Q40" s="6"/>
    </row>
    <row r="41" spans="1:17" x14ac:dyDescent="0.4">
      <c r="A41" t="s">
        <v>128</v>
      </c>
      <c r="C41">
        <f>Jan!U8</f>
        <v>16</v>
      </c>
      <c r="D41">
        <f>Feb!U8</f>
        <v>4</v>
      </c>
      <c r="E41">
        <f>Mrz!U8</f>
        <v>1</v>
      </c>
      <c r="F41">
        <f>Apr!U8</f>
        <v>0</v>
      </c>
      <c r="G41">
        <f>Mai!U8</f>
        <v>0</v>
      </c>
      <c r="H41">
        <f>Jun!U8</f>
        <v>0</v>
      </c>
      <c r="I41">
        <f>Jul!U8</f>
        <v>0</v>
      </c>
      <c r="J41">
        <f>Aug!U8</f>
        <v>0</v>
      </c>
      <c r="K41">
        <f>Sep!U8</f>
        <v>0</v>
      </c>
      <c r="L41">
        <f>Okt!U8</f>
        <v>0</v>
      </c>
      <c r="M41">
        <f>Nov!U8</f>
        <v>1</v>
      </c>
      <c r="N41">
        <f>Dez!U8</f>
        <v>7</v>
      </c>
      <c r="O41" s="4">
        <f t="shared" si="0"/>
        <v>2.4166666666666665</v>
      </c>
      <c r="P41" s="93">
        <f t="shared" si="1"/>
        <v>29</v>
      </c>
      <c r="Q41" s="7">
        <v>7.1</v>
      </c>
    </row>
    <row r="42" spans="1:17" x14ac:dyDescent="0.4">
      <c r="A42" t="s">
        <v>129</v>
      </c>
      <c r="C42">
        <f>Jan!U9</f>
        <v>25</v>
      </c>
      <c r="D42">
        <f>Feb!U9</f>
        <v>10</v>
      </c>
      <c r="E42">
        <f>Mrz!U9</f>
        <v>18</v>
      </c>
      <c r="F42">
        <f>Apr!U9</f>
        <v>13</v>
      </c>
      <c r="G42">
        <f>Mai!U9</f>
        <v>0</v>
      </c>
      <c r="H42">
        <f>Jun!U9</f>
        <v>0</v>
      </c>
      <c r="I42">
        <f>Jul!U9</f>
        <v>0</v>
      </c>
      <c r="J42">
        <f>Aug!U9</f>
        <v>0</v>
      </c>
      <c r="K42">
        <f>Sep!U9</f>
        <v>0</v>
      </c>
      <c r="L42">
        <f>Okt!U9</f>
        <v>0</v>
      </c>
      <c r="M42">
        <f>Nov!U9</f>
        <v>13</v>
      </c>
      <c r="N42">
        <f>Dez!U9</f>
        <v>23</v>
      </c>
      <c r="O42" s="4">
        <f t="shared" si="0"/>
        <v>8.5</v>
      </c>
      <c r="P42" s="93">
        <f t="shared" si="1"/>
        <v>102</v>
      </c>
      <c r="Q42" s="7">
        <v>-8.1</v>
      </c>
    </row>
    <row r="43" spans="1:17" x14ac:dyDescent="0.4">
      <c r="A43" t="s">
        <v>130</v>
      </c>
      <c r="C43">
        <f>Jan!U10</f>
        <v>31</v>
      </c>
      <c r="D43">
        <f>Feb!U10</f>
        <v>20</v>
      </c>
      <c r="E43">
        <f>Mrz!U10</f>
        <v>20</v>
      </c>
      <c r="F43">
        <f>Apr!U10</f>
        <v>11</v>
      </c>
      <c r="G43">
        <f>Mai!U10</f>
        <v>9</v>
      </c>
      <c r="H43">
        <f>Jun!U10</f>
        <v>0</v>
      </c>
      <c r="I43">
        <f>Jul!U10</f>
        <v>0</v>
      </c>
      <c r="J43">
        <f>Aug!U10</f>
        <v>0</v>
      </c>
      <c r="K43">
        <f>Sep!U10</f>
        <v>0</v>
      </c>
      <c r="L43">
        <f>Okt!U10</f>
        <v>7</v>
      </c>
      <c r="M43">
        <f>Nov!U10</f>
        <v>27</v>
      </c>
      <c r="N43">
        <f>Dez!U10</f>
        <v>29</v>
      </c>
      <c r="O43" s="4">
        <f t="shared" si="0"/>
        <v>12.833333333333334</v>
      </c>
      <c r="P43" s="93">
        <f t="shared" si="1"/>
        <v>154</v>
      </c>
      <c r="Q43" s="6"/>
    </row>
    <row r="44" spans="1:17" x14ac:dyDescent="0.4">
      <c r="A44" t="s">
        <v>131</v>
      </c>
      <c r="C44">
        <f>Jan!U11</f>
        <v>0</v>
      </c>
      <c r="D44">
        <f>Feb!U11</f>
        <v>0</v>
      </c>
      <c r="E44">
        <f>Mrz!U11</f>
        <v>0</v>
      </c>
      <c r="F44">
        <f>Apr!U11</f>
        <v>0</v>
      </c>
      <c r="G44">
        <f>Mai!U11</f>
        <v>2</v>
      </c>
      <c r="H44">
        <f>Jun!U11</f>
        <v>19</v>
      </c>
      <c r="I44">
        <f>Jul!U11</f>
        <v>21</v>
      </c>
      <c r="J44">
        <f>Aug!U11</f>
        <v>10</v>
      </c>
      <c r="K44">
        <f>Sep!U11</f>
        <v>13</v>
      </c>
      <c r="L44">
        <f>Okt!U11</f>
        <v>0</v>
      </c>
      <c r="M44">
        <f>Nov!U11</f>
        <v>0</v>
      </c>
      <c r="N44">
        <f>Dez!U11</f>
        <v>0</v>
      </c>
      <c r="O44" s="4">
        <f t="shared" si="0"/>
        <v>5.416666666666667</v>
      </c>
      <c r="P44" s="93">
        <f t="shared" si="1"/>
        <v>65</v>
      </c>
      <c r="Q44" s="6"/>
    </row>
    <row r="45" spans="1:17" x14ac:dyDescent="0.4">
      <c r="A45" t="s">
        <v>132</v>
      </c>
      <c r="C45">
        <f>Jan!U12</f>
        <v>0</v>
      </c>
      <c r="D45">
        <f>Feb!U12</f>
        <v>0</v>
      </c>
      <c r="E45">
        <f>Mrz!U12</f>
        <v>0</v>
      </c>
      <c r="F45">
        <f>Apr!U12</f>
        <v>0</v>
      </c>
      <c r="G45">
        <f>Mai!U12</f>
        <v>0</v>
      </c>
      <c r="H45">
        <f>Jun!U12</f>
        <v>8</v>
      </c>
      <c r="I45">
        <f>Jul!U12</f>
        <v>3</v>
      </c>
      <c r="J45">
        <f>Aug!U12</f>
        <v>5</v>
      </c>
      <c r="K45">
        <f>Sep!U12</f>
        <v>0</v>
      </c>
      <c r="L45">
        <f>Okt!U12</f>
        <v>0</v>
      </c>
      <c r="M45">
        <f>Nov!U12</f>
        <v>0</v>
      </c>
      <c r="N45">
        <f>Dez!U12</f>
        <v>0</v>
      </c>
      <c r="O45" s="4">
        <f t="shared" si="0"/>
        <v>1.3333333333333333</v>
      </c>
      <c r="P45" s="93">
        <f t="shared" si="1"/>
        <v>16</v>
      </c>
      <c r="Q45" s="7">
        <v>-16.7</v>
      </c>
    </row>
    <row r="46" spans="1:17" x14ac:dyDescent="0.4">
      <c r="A46" t="s">
        <v>133</v>
      </c>
      <c r="C46">
        <f>Jan!U13</f>
        <v>0</v>
      </c>
      <c r="D46">
        <f>Feb!U13</f>
        <v>0</v>
      </c>
      <c r="E46">
        <f>Mrz!U13</f>
        <v>0</v>
      </c>
      <c r="F46">
        <f>Apr!U13</f>
        <v>0</v>
      </c>
      <c r="G46">
        <f>Mai!U13</f>
        <v>0</v>
      </c>
      <c r="H46">
        <f>Jun!U13</f>
        <v>0</v>
      </c>
      <c r="I46">
        <f>Jul!U13</f>
        <v>0</v>
      </c>
      <c r="J46">
        <f>Aug!U13</f>
        <v>0</v>
      </c>
      <c r="K46">
        <f>Sep!U13</f>
        <v>0</v>
      </c>
      <c r="L46">
        <f>Okt!U13</f>
        <v>0</v>
      </c>
      <c r="M46">
        <f>Nov!U13</f>
        <v>0</v>
      </c>
      <c r="N46">
        <f>Dez!U13</f>
        <v>0</v>
      </c>
      <c r="O46" s="4">
        <f t="shared" si="0"/>
        <v>0</v>
      </c>
      <c r="P46" s="93">
        <f t="shared" si="1"/>
        <v>0</v>
      </c>
      <c r="Q46" s="7">
        <v>-3.4</v>
      </c>
    </row>
    <row r="47" spans="1:17" x14ac:dyDescent="0.4">
      <c r="A47" t="s">
        <v>134</v>
      </c>
      <c r="C47">
        <f>Jan!U14</f>
        <v>0</v>
      </c>
      <c r="D47">
        <f>Feb!U14</f>
        <v>0</v>
      </c>
      <c r="E47">
        <f>Mrz!U14</f>
        <v>0</v>
      </c>
      <c r="F47">
        <f>Apr!U14</f>
        <v>0</v>
      </c>
      <c r="G47">
        <f>Mai!U14</f>
        <v>0</v>
      </c>
      <c r="H47">
        <f>Jun!U14</f>
        <v>0</v>
      </c>
      <c r="I47">
        <f>Jul!U14</f>
        <v>0</v>
      </c>
      <c r="J47">
        <f>Aug!U14</f>
        <v>0</v>
      </c>
      <c r="K47">
        <f>Sep!U14</f>
        <v>0</v>
      </c>
      <c r="L47">
        <f>Okt!U14</f>
        <v>0</v>
      </c>
      <c r="M47">
        <f>Nov!U14</f>
        <v>0</v>
      </c>
      <c r="N47">
        <f>Dez!U14</f>
        <v>0</v>
      </c>
      <c r="O47" s="4">
        <f>AVERAGE(C47:N47)</f>
        <v>0</v>
      </c>
      <c r="P47" s="93">
        <f>SUM(C47:N47)</f>
        <v>0</v>
      </c>
      <c r="Q47" s="6"/>
    </row>
    <row r="48" spans="1:17" x14ac:dyDescent="0.4">
      <c r="C48" t="s">
        <v>0</v>
      </c>
      <c r="D48" t="s">
        <v>1</v>
      </c>
      <c r="E48" t="s">
        <v>2</v>
      </c>
      <c r="F48" t="s">
        <v>3</v>
      </c>
      <c r="G48" t="s">
        <v>4</v>
      </c>
      <c r="H48" t="s">
        <v>5</v>
      </c>
      <c r="I48" t="s">
        <v>6</v>
      </c>
      <c r="J48" t="s">
        <v>7</v>
      </c>
      <c r="K48" t="s">
        <v>8</v>
      </c>
      <c r="L48" t="s">
        <v>9</v>
      </c>
      <c r="M48" t="s">
        <v>10</v>
      </c>
      <c r="N48" t="s">
        <v>11</v>
      </c>
      <c r="Q48" s="6"/>
    </row>
    <row r="49" spans="1:17" x14ac:dyDescent="0.4">
      <c r="A49" t="s">
        <v>109</v>
      </c>
      <c r="C49">
        <f>Jan!U23</f>
        <v>0</v>
      </c>
      <c r="D49">
        <f>Feb!U23</f>
        <v>0</v>
      </c>
      <c r="E49">
        <f>Mrz!U23</f>
        <v>2</v>
      </c>
      <c r="F49">
        <f>Apr!U23</f>
        <v>0</v>
      </c>
      <c r="G49">
        <f>Mai!U23</f>
        <v>0</v>
      </c>
      <c r="H49">
        <f>Jun!U23</f>
        <v>2</v>
      </c>
      <c r="I49">
        <f>Jul!U23</f>
        <v>1</v>
      </c>
      <c r="J49">
        <f>Aug!U23</f>
        <v>1</v>
      </c>
      <c r="K49">
        <f>Sep!U23</f>
        <v>0</v>
      </c>
      <c r="L49">
        <f>Okt!U23</f>
        <v>1</v>
      </c>
      <c r="M49">
        <f>Nov!U23</f>
        <v>0</v>
      </c>
      <c r="N49">
        <f>Dez!U23</f>
        <v>1</v>
      </c>
      <c r="O49" s="4">
        <f t="shared" ref="O49:O55" si="2">AVERAGE(C49:N49)</f>
        <v>0.66666666666666663</v>
      </c>
      <c r="P49" s="93">
        <f t="shared" ref="P49:P55" si="3">SUM(C49:N49)</f>
        <v>8</v>
      </c>
      <c r="Q49" s="6"/>
    </row>
    <row r="50" spans="1:17" x14ac:dyDescent="0.4">
      <c r="A50" t="s">
        <v>110</v>
      </c>
      <c r="C50">
        <f>Jan!U24</f>
        <v>3</v>
      </c>
      <c r="D50">
        <f>Feb!U24</f>
        <v>1</v>
      </c>
      <c r="E50">
        <f>Mrz!U24</f>
        <v>2</v>
      </c>
      <c r="F50">
        <f>Apr!U24</f>
        <v>1</v>
      </c>
      <c r="G50">
        <f>Mai!U24</f>
        <v>6</v>
      </c>
      <c r="H50">
        <f>Jun!U24</f>
        <v>1</v>
      </c>
      <c r="I50">
        <f>Jul!U24</f>
        <v>0</v>
      </c>
      <c r="J50">
        <f>Aug!U24</f>
        <v>0</v>
      </c>
      <c r="K50">
        <f>Sep!U24</f>
        <v>0</v>
      </c>
      <c r="L50">
        <f>Okt!U24</f>
        <v>0</v>
      </c>
      <c r="M50">
        <f>Nov!U24</f>
        <v>0</v>
      </c>
      <c r="N50">
        <f>Dez!U24</f>
        <v>0</v>
      </c>
      <c r="O50" s="4">
        <f t="shared" si="2"/>
        <v>1.1666666666666667</v>
      </c>
      <c r="P50" s="93">
        <f t="shared" si="3"/>
        <v>14</v>
      </c>
      <c r="Q50" s="6"/>
    </row>
    <row r="51" spans="1:17" x14ac:dyDescent="0.4">
      <c r="A51" t="s">
        <v>111</v>
      </c>
      <c r="C51">
        <f>Jan!U25</f>
        <v>3</v>
      </c>
      <c r="D51">
        <f>Feb!U25</f>
        <v>1</v>
      </c>
      <c r="E51">
        <f>Mrz!U25</f>
        <v>1</v>
      </c>
      <c r="F51">
        <f>Apr!U25</f>
        <v>5</v>
      </c>
      <c r="G51">
        <f>Mai!U25</f>
        <v>8</v>
      </c>
      <c r="H51">
        <f>Jun!U25</f>
        <v>1</v>
      </c>
      <c r="I51">
        <f>Jul!U25</f>
        <v>4</v>
      </c>
      <c r="J51">
        <f>Aug!U25</f>
        <v>6</v>
      </c>
      <c r="K51">
        <f>Sep!U25</f>
        <v>2</v>
      </c>
      <c r="L51">
        <f>Okt!U25</f>
        <v>2</v>
      </c>
      <c r="M51">
        <f>Nov!U25</f>
        <v>2</v>
      </c>
      <c r="N51">
        <f>Dez!U25</f>
        <v>4</v>
      </c>
      <c r="O51" s="4">
        <f t="shared" si="2"/>
        <v>3.25</v>
      </c>
      <c r="P51" s="93">
        <f t="shared" si="3"/>
        <v>39</v>
      </c>
      <c r="Q51" s="6"/>
    </row>
    <row r="52" spans="1:17" x14ac:dyDescent="0.4">
      <c r="A52" t="s">
        <v>112</v>
      </c>
      <c r="C52">
        <f>Jan!U26</f>
        <v>3</v>
      </c>
      <c r="D52">
        <f>Feb!U26</f>
        <v>8</v>
      </c>
      <c r="E52">
        <f>Mrz!U26</f>
        <v>5</v>
      </c>
      <c r="F52">
        <f>Apr!U26</f>
        <v>13</v>
      </c>
      <c r="G52">
        <f>Mai!U26</f>
        <v>7</v>
      </c>
      <c r="H52">
        <f>Jun!U26</f>
        <v>7</v>
      </c>
      <c r="I52">
        <f>Jul!U26</f>
        <v>12</v>
      </c>
      <c r="J52">
        <f>Aug!U26</f>
        <v>7</v>
      </c>
      <c r="K52">
        <f>Sep!U26</f>
        <v>1</v>
      </c>
      <c r="L52">
        <f>Okt!U26</f>
        <v>2</v>
      </c>
      <c r="M52">
        <f>Nov!U26</f>
        <v>2</v>
      </c>
      <c r="N52">
        <f>Dez!U26</f>
        <v>2</v>
      </c>
      <c r="O52" s="4">
        <f t="shared" si="2"/>
        <v>5.75</v>
      </c>
      <c r="P52" s="93">
        <f t="shared" si="3"/>
        <v>69</v>
      </c>
      <c r="Q52" s="6"/>
    </row>
    <row r="53" spans="1:17" x14ac:dyDescent="0.4">
      <c r="A53" t="s">
        <v>113</v>
      </c>
      <c r="C53">
        <f>Jan!U27</f>
        <v>8</v>
      </c>
      <c r="D53">
        <f>Feb!U27</f>
        <v>5</v>
      </c>
      <c r="E53">
        <f>Mrz!U27</f>
        <v>9</v>
      </c>
      <c r="F53">
        <f>Apr!U27</f>
        <v>8</v>
      </c>
      <c r="G53">
        <f>Mai!U27</f>
        <v>8</v>
      </c>
      <c r="H53">
        <f>Jun!U27</f>
        <v>12</v>
      </c>
      <c r="I53">
        <f>Jul!U27</f>
        <v>8</v>
      </c>
      <c r="J53">
        <f>Aug!U27</f>
        <v>12</v>
      </c>
      <c r="K53">
        <f>Sep!U27</f>
        <v>16</v>
      </c>
      <c r="L53">
        <f>Okt!U27</f>
        <v>8</v>
      </c>
      <c r="M53">
        <f>Nov!U27</f>
        <v>11</v>
      </c>
      <c r="N53">
        <f>Dez!U27</f>
        <v>4</v>
      </c>
      <c r="O53" s="4">
        <f t="shared" si="2"/>
        <v>9.0833333333333339</v>
      </c>
      <c r="P53" s="93">
        <f t="shared" si="3"/>
        <v>109</v>
      </c>
      <c r="Q53" s="6"/>
    </row>
    <row r="54" spans="1:17" x14ac:dyDescent="0.4">
      <c r="A54" t="s">
        <v>114</v>
      </c>
      <c r="C54">
        <f>Jan!U28</f>
        <v>10</v>
      </c>
      <c r="D54">
        <f>Feb!U28</f>
        <v>9</v>
      </c>
      <c r="E54">
        <f>Mrz!U28</f>
        <v>8</v>
      </c>
      <c r="F54">
        <f>Apr!U28</f>
        <v>3</v>
      </c>
      <c r="G54">
        <f>Mai!U28</f>
        <v>2</v>
      </c>
      <c r="H54">
        <f>Jun!U28</f>
        <v>7</v>
      </c>
      <c r="I54">
        <f>Jul!U28</f>
        <v>6</v>
      </c>
      <c r="J54">
        <f>Aug!U28</f>
        <v>5</v>
      </c>
      <c r="K54">
        <f>Sep!U28</f>
        <v>10</v>
      </c>
      <c r="L54">
        <f>Okt!U28</f>
        <v>14</v>
      </c>
      <c r="M54">
        <f>Nov!U28</f>
        <v>6</v>
      </c>
      <c r="N54">
        <f>Dez!U28</f>
        <v>9</v>
      </c>
      <c r="O54" s="4">
        <f t="shared" si="2"/>
        <v>7.416666666666667</v>
      </c>
      <c r="P54" s="93">
        <f t="shared" si="3"/>
        <v>89</v>
      </c>
      <c r="Q54" s="6"/>
    </row>
    <row r="55" spans="1:17" x14ac:dyDescent="0.4">
      <c r="A55" t="s">
        <v>115</v>
      </c>
      <c r="C55">
        <f>Jan!U29</f>
        <v>4</v>
      </c>
      <c r="D55">
        <f>Feb!U29</f>
        <v>4</v>
      </c>
      <c r="E55">
        <f>Mrz!U29</f>
        <v>4</v>
      </c>
      <c r="F55">
        <f>Apr!U29</f>
        <v>0</v>
      </c>
      <c r="G55">
        <f>Mai!U29</f>
        <v>0</v>
      </c>
      <c r="H55">
        <f>Jun!U29</f>
        <v>0</v>
      </c>
      <c r="I55">
        <f>Jul!U29</f>
        <v>0</v>
      </c>
      <c r="J55">
        <f>Aug!U29</f>
        <v>0</v>
      </c>
      <c r="K55">
        <f>Sep!U29</f>
        <v>1</v>
      </c>
      <c r="L55">
        <f>Okt!U29</f>
        <v>4</v>
      </c>
      <c r="M55">
        <f>Nov!U29</f>
        <v>9</v>
      </c>
      <c r="N55">
        <f>Dez!U29</f>
        <v>11</v>
      </c>
      <c r="O55" s="4">
        <f t="shared" si="2"/>
        <v>3.0833333333333335</v>
      </c>
      <c r="P55" s="93">
        <f t="shared" si="3"/>
        <v>37</v>
      </c>
      <c r="Q55" s="6"/>
    </row>
    <row r="56" spans="1:17" x14ac:dyDescent="0.4">
      <c r="C56" t="s">
        <v>0</v>
      </c>
      <c r="D56" t="s">
        <v>1</v>
      </c>
      <c r="E56" t="s">
        <v>2</v>
      </c>
      <c r="F56" t="s">
        <v>3</v>
      </c>
      <c r="G56" t="s">
        <v>4</v>
      </c>
      <c r="H56" t="s">
        <v>5</v>
      </c>
      <c r="I56" t="s">
        <v>6</v>
      </c>
      <c r="J56" t="s">
        <v>7</v>
      </c>
      <c r="K56" t="s">
        <v>8</v>
      </c>
      <c r="L56" t="s">
        <v>9</v>
      </c>
      <c r="M56" t="s">
        <v>10</v>
      </c>
      <c r="N56" t="s">
        <v>11</v>
      </c>
      <c r="Q56" s="6"/>
    </row>
    <row r="57" spans="1:17" x14ac:dyDescent="0.4">
      <c r="A57" t="s">
        <v>227</v>
      </c>
      <c r="C57">
        <f>Jan!U17</f>
        <v>13</v>
      </c>
      <c r="D57">
        <f>Feb!U17</f>
        <v>8</v>
      </c>
      <c r="E57">
        <f>Mrz!U17</f>
        <v>10</v>
      </c>
      <c r="F57">
        <f>Apr!U17</f>
        <v>9</v>
      </c>
      <c r="G57">
        <f>Mai!U17</f>
        <v>19</v>
      </c>
      <c r="H57">
        <f>Jun!U17</f>
        <v>18</v>
      </c>
      <c r="I57">
        <f>Jul!U17</f>
        <v>21</v>
      </c>
      <c r="J57">
        <f>Aug!U17</f>
        <v>11</v>
      </c>
      <c r="K57">
        <f>Sep!U17</f>
        <v>9</v>
      </c>
      <c r="L57">
        <f>Okt!U17</f>
        <v>8</v>
      </c>
      <c r="M57">
        <f>Nov!U17</f>
        <v>11</v>
      </c>
      <c r="N57">
        <f>Dez!U17</f>
        <v>13</v>
      </c>
      <c r="O57" s="4">
        <f>AVERAGE(C57:N57)</f>
        <v>12.5</v>
      </c>
      <c r="P57" s="93">
        <f>SUM(C57:N57)</f>
        <v>150</v>
      </c>
      <c r="Q57" s="7">
        <v>14</v>
      </c>
    </row>
    <row r="58" spans="1:17" x14ac:dyDescent="0.4">
      <c r="A58" t="s">
        <v>228</v>
      </c>
      <c r="C58">
        <f>Jan!U18</f>
        <v>8</v>
      </c>
      <c r="D58">
        <f>Feb!U18</f>
        <v>1</v>
      </c>
      <c r="E58">
        <f>Mrz!U18</f>
        <v>3</v>
      </c>
      <c r="F58">
        <f>Apr!U18</f>
        <v>3</v>
      </c>
      <c r="G58">
        <f>Mai!U18</f>
        <v>9</v>
      </c>
      <c r="H58">
        <f>Jun!U18</f>
        <v>9</v>
      </c>
      <c r="I58">
        <f>Jul!U18</f>
        <v>12</v>
      </c>
      <c r="J58">
        <f>Aug!U18</f>
        <v>6</v>
      </c>
      <c r="K58">
        <f>Sep!U18</f>
        <v>3</v>
      </c>
      <c r="L58">
        <f>Okt!U18</f>
        <v>0</v>
      </c>
      <c r="M58">
        <f>Nov!U18</f>
        <v>1</v>
      </c>
      <c r="N58">
        <f>Dez!U18</f>
        <v>3</v>
      </c>
      <c r="O58" s="4">
        <f>AVERAGE(C58:N58)</f>
        <v>4.833333333333333</v>
      </c>
      <c r="P58" s="93">
        <f>SUM(C58:N58)</f>
        <v>58</v>
      </c>
      <c r="Q58" s="6"/>
    </row>
    <row r="59" spans="1:17" x14ac:dyDescent="0.4">
      <c r="A59" t="s">
        <v>229</v>
      </c>
      <c r="C59">
        <f>Jan!U19</f>
        <v>1</v>
      </c>
      <c r="D59">
        <f>Feb!U19</f>
        <v>0</v>
      </c>
      <c r="E59">
        <f>Mrz!U19</f>
        <v>0</v>
      </c>
      <c r="F59">
        <f>Apr!U19</f>
        <v>0</v>
      </c>
      <c r="G59">
        <f>Mai!U19</f>
        <v>2</v>
      </c>
      <c r="H59">
        <f>Jun!U19</f>
        <v>5</v>
      </c>
      <c r="I59">
        <f>Jul!U19</f>
        <v>5</v>
      </c>
      <c r="J59">
        <f>Aug!U19</f>
        <v>1</v>
      </c>
      <c r="K59">
        <f>Sep!U19</f>
        <v>1</v>
      </c>
      <c r="L59">
        <f>Okt!U19</f>
        <v>0</v>
      </c>
      <c r="M59">
        <f>Nov!U19</f>
        <v>0</v>
      </c>
      <c r="N59">
        <f>Dez!U19</f>
        <v>1</v>
      </c>
      <c r="O59" s="4">
        <f>AVERAGE(C59:N59)</f>
        <v>1.3333333333333333</v>
      </c>
      <c r="P59" s="93">
        <f>SUM(C59:N59)</f>
        <v>16</v>
      </c>
      <c r="Q59" s="6"/>
    </row>
    <row r="60" spans="1:17" x14ac:dyDescent="0.4">
      <c r="A60" t="s">
        <v>230</v>
      </c>
      <c r="C60">
        <f>Jan!U20</f>
        <v>0</v>
      </c>
      <c r="D60">
        <f>Feb!U20</f>
        <v>0</v>
      </c>
      <c r="E60">
        <f>Mrz!U20</f>
        <v>0</v>
      </c>
      <c r="F60">
        <f>Apr!U20</f>
        <v>0</v>
      </c>
      <c r="G60">
        <f>Mai!U20</f>
        <v>0</v>
      </c>
      <c r="H60">
        <f>Jun!U20</f>
        <v>0</v>
      </c>
      <c r="I60">
        <f>Jul!U20</f>
        <v>1</v>
      </c>
      <c r="J60">
        <f>Aug!U20</f>
        <v>0</v>
      </c>
      <c r="K60">
        <f>Sep!U20</f>
        <v>0</v>
      </c>
      <c r="L60">
        <f>Okt!U20</f>
        <v>0</v>
      </c>
      <c r="M60">
        <f>Nov!U20</f>
        <v>0</v>
      </c>
      <c r="N60">
        <f>Dez!U20</f>
        <v>0</v>
      </c>
      <c r="O60" s="4">
        <f>AVERAGE(C60:N60)</f>
        <v>8.3333333333333329E-2</v>
      </c>
      <c r="P60" s="93">
        <f>SUM(C60:N60)</f>
        <v>1</v>
      </c>
      <c r="Q60" s="6"/>
    </row>
    <row r="61" spans="1:17" x14ac:dyDescent="0.4">
      <c r="C61" t="s">
        <v>0</v>
      </c>
      <c r="D61" t="s">
        <v>1</v>
      </c>
      <c r="E61" t="s">
        <v>2</v>
      </c>
      <c r="F61" t="s">
        <v>3</v>
      </c>
      <c r="G61" t="s">
        <v>4</v>
      </c>
      <c r="H61" t="s">
        <v>5</v>
      </c>
      <c r="I61" t="s">
        <v>6</v>
      </c>
      <c r="J61" t="s">
        <v>7</v>
      </c>
      <c r="K61" t="s">
        <v>8</v>
      </c>
      <c r="L61" t="s">
        <v>9</v>
      </c>
      <c r="M61" t="s">
        <v>10</v>
      </c>
      <c r="N61" t="s">
        <v>11</v>
      </c>
      <c r="Q61" s="6"/>
    </row>
    <row r="62" spans="1:17" x14ac:dyDescent="0.4">
      <c r="A62" t="s">
        <v>116</v>
      </c>
      <c r="C62">
        <f>Jan!U32</f>
        <v>30</v>
      </c>
      <c r="D62">
        <f>Feb!U32</f>
        <v>10</v>
      </c>
      <c r="E62">
        <f>Mrz!U32</f>
        <v>11</v>
      </c>
      <c r="F62">
        <f>Apr!U32</f>
        <v>6</v>
      </c>
      <c r="G62">
        <f>Mai!U32</f>
        <v>0</v>
      </c>
      <c r="H62">
        <f>Jun!U32</f>
        <v>0</v>
      </c>
      <c r="I62">
        <f>Jul!U32</f>
        <v>0</v>
      </c>
      <c r="J62">
        <f>Aug!U32</f>
        <v>0</v>
      </c>
      <c r="K62">
        <f>Sep!U32</f>
        <v>0</v>
      </c>
      <c r="L62">
        <f>Okt!U32</f>
        <v>0</v>
      </c>
      <c r="M62">
        <f>Nov!U32</f>
        <v>5</v>
      </c>
      <c r="N62">
        <f>Dez!U32</f>
        <v>28</v>
      </c>
      <c r="O62" s="4">
        <f>AVERAGE(C62:N62)</f>
        <v>7.5</v>
      </c>
      <c r="P62" s="93">
        <f>SUM(C62:N62)</f>
        <v>90</v>
      </c>
      <c r="Q62" s="6"/>
    </row>
    <row r="63" spans="1:17" x14ac:dyDescent="0.4">
      <c r="A63" t="s">
        <v>117</v>
      </c>
      <c r="C63">
        <f>Jan!U33</f>
        <v>30</v>
      </c>
      <c r="D63">
        <f>Feb!U33</f>
        <v>10</v>
      </c>
      <c r="E63">
        <f>Mrz!U33</f>
        <v>11</v>
      </c>
      <c r="F63">
        <f>Apr!U33</f>
        <v>6</v>
      </c>
      <c r="G63">
        <f>Mai!U33</f>
        <v>0</v>
      </c>
      <c r="H63">
        <f>Jun!U33</f>
        <v>0</v>
      </c>
      <c r="I63">
        <f>Jul!U33</f>
        <v>0</v>
      </c>
      <c r="J63">
        <f>Aug!U33</f>
        <v>0</v>
      </c>
      <c r="K63">
        <f>Sep!U33</f>
        <v>0</v>
      </c>
      <c r="L63">
        <f>Okt!U33</f>
        <v>0</v>
      </c>
      <c r="M63">
        <f>Nov!U33</f>
        <v>5</v>
      </c>
      <c r="N63">
        <f>Dez!U33</f>
        <v>28</v>
      </c>
      <c r="O63" s="4">
        <f>AVERAGE(C63:N63)</f>
        <v>7.5</v>
      </c>
      <c r="P63" s="93">
        <f>SUM(C63:N63)</f>
        <v>90</v>
      </c>
      <c r="Q63" s="6"/>
    </row>
    <row r="64" spans="1:17" x14ac:dyDescent="0.4">
      <c r="A64" t="s">
        <v>118</v>
      </c>
      <c r="C64">
        <f>Jan!U34</f>
        <v>29</v>
      </c>
      <c r="D64">
        <f>Feb!U34</f>
        <v>3</v>
      </c>
      <c r="E64">
        <f>Mrz!U34</f>
        <v>11</v>
      </c>
      <c r="F64">
        <f>Apr!U34</f>
        <v>2</v>
      </c>
      <c r="G64">
        <f>Mai!U34</f>
        <v>0</v>
      </c>
      <c r="H64">
        <f>Jun!U34</f>
        <v>0</v>
      </c>
      <c r="I64">
        <f>Jul!U34</f>
        <v>0</v>
      </c>
      <c r="J64">
        <f>Aug!U34</f>
        <v>0</v>
      </c>
      <c r="K64">
        <f>Sep!U34</f>
        <v>0</v>
      </c>
      <c r="L64">
        <f>Okt!U34</f>
        <v>0</v>
      </c>
      <c r="M64">
        <f>Nov!U34</f>
        <v>2</v>
      </c>
      <c r="N64">
        <f>Dez!U34</f>
        <v>26</v>
      </c>
      <c r="O64" s="4">
        <f t="shared" ref="O64:O72" si="4">AVERAGE(C64:N64)</f>
        <v>6.083333333333333</v>
      </c>
      <c r="P64" s="93">
        <f t="shared" ref="P64:P72" si="5">SUM(C64:N64)</f>
        <v>73</v>
      </c>
      <c r="Q64" s="6"/>
    </row>
    <row r="65" spans="1:17" x14ac:dyDescent="0.4">
      <c r="A65" t="s">
        <v>119</v>
      </c>
      <c r="C65">
        <f>Jan!U35</f>
        <v>17</v>
      </c>
      <c r="D65">
        <f>Feb!U35</f>
        <v>0</v>
      </c>
      <c r="E65">
        <f>Mrz!U35</f>
        <v>9</v>
      </c>
      <c r="F65">
        <f>Apr!U35</f>
        <v>0</v>
      </c>
      <c r="G65">
        <f>Mai!U35</f>
        <v>0</v>
      </c>
      <c r="H65">
        <f>Jun!U35</f>
        <v>0</v>
      </c>
      <c r="I65">
        <f>Jul!U35</f>
        <v>0</v>
      </c>
      <c r="J65">
        <f>Aug!U35</f>
        <v>0</v>
      </c>
      <c r="K65">
        <f>Sep!U35</f>
        <v>0</v>
      </c>
      <c r="L65">
        <f>Okt!U35</f>
        <v>0</v>
      </c>
      <c r="M65">
        <f>Nov!U35</f>
        <v>2</v>
      </c>
      <c r="N65">
        <f>Dez!U35</f>
        <v>19</v>
      </c>
      <c r="O65" s="4">
        <f t="shared" si="4"/>
        <v>3.9166666666666665</v>
      </c>
      <c r="P65" s="93">
        <f t="shared" si="5"/>
        <v>47</v>
      </c>
      <c r="Q65" s="6"/>
    </row>
    <row r="66" spans="1:17" x14ac:dyDescent="0.4">
      <c r="A66" t="s">
        <v>120</v>
      </c>
      <c r="C66">
        <f>Jan!U36</f>
        <v>10</v>
      </c>
      <c r="D66">
        <f>Feb!U36</f>
        <v>0</v>
      </c>
      <c r="E66">
        <f>Mrz!U36</f>
        <v>7</v>
      </c>
      <c r="F66">
        <f>Apr!U36</f>
        <v>0</v>
      </c>
      <c r="G66">
        <f>Mai!U36</f>
        <v>0</v>
      </c>
      <c r="H66">
        <f>Jun!U36</f>
        <v>0</v>
      </c>
      <c r="I66">
        <f>Jul!U36</f>
        <v>0</v>
      </c>
      <c r="J66">
        <f>Aug!U36</f>
        <v>0</v>
      </c>
      <c r="K66">
        <f>Sep!U36</f>
        <v>0</v>
      </c>
      <c r="L66">
        <f>Okt!U36</f>
        <v>0</v>
      </c>
      <c r="M66">
        <f>Nov!U36</f>
        <v>2</v>
      </c>
      <c r="N66">
        <f>Dez!U36</f>
        <v>17</v>
      </c>
      <c r="O66" s="4">
        <f t="shared" si="4"/>
        <v>3</v>
      </c>
      <c r="P66" s="93">
        <f t="shared" si="5"/>
        <v>36</v>
      </c>
      <c r="Q66" s="6"/>
    </row>
    <row r="67" spans="1:17" x14ac:dyDescent="0.4">
      <c r="A67" t="s">
        <v>121</v>
      </c>
      <c r="C67">
        <f>Jan!U37</f>
        <v>5</v>
      </c>
      <c r="D67">
        <f>Feb!U37</f>
        <v>0</v>
      </c>
      <c r="E67">
        <f>Mrz!U37</f>
        <v>0</v>
      </c>
      <c r="F67">
        <f>Apr!U37</f>
        <v>0</v>
      </c>
      <c r="G67">
        <f>Mai!U37</f>
        <v>0</v>
      </c>
      <c r="H67">
        <f>Jun!U37</f>
        <v>0</v>
      </c>
      <c r="I67">
        <f>Jul!U37</f>
        <v>0</v>
      </c>
      <c r="J67">
        <f>Aug!U37</f>
        <v>0</v>
      </c>
      <c r="K67">
        <f>Sep!U37</f>
        <v>0</v>
      </c>
      <c r="L67">
        <f>Okt!U37</f>
        <v>0</v>
      </c>
      <c r="M67">
        <f>Nov!U37</f>
        <v>0</v>
      </c>
      <c r="N67">
        <f>Dez!U37</f>
        <v>9</v>
      </c>
      <c r="O67" s="4">
        <f t="shared" si="4"/>
        <v>1.1666666666666667</v>
      </c>
      <c r="P67" s="93">
        <f t="shared" si="5"/>
        <v>14</v>
      </c>
      <c r="Q67" s="6"/>
    </row>
    <row r="68" spans="1:17" x14ac:dyDescent="0.4">
      <c r="A68" t="s">
        <v>122</v>
      </c>
      <c r="C68">
        <f>Jan!U38</f>
        <v>4</v>
      </c>
      <c r="D68">
        <f>Feb!U38</f>
        <v>0</v>
      </c>
      <c r="E68">
        <f>Mrz!U38</f>
        <v>0</v>
      </c>
      <c r="F68">
        <f>Apr!U38</f>
        <v>0</v>
      </c>
      <c r="G68">
        <f>Mai!U38</f>
        <v>0</v>
      </c>
      <c r="H68">
        <f>Jun!U38</f>
        <v>0</v>
      </c>
      <c r="I68">
        <f>Jul!U38</f>
        <v>0</v>
      </c>
      <c r="J68">
        <f>Aug!U38</f>
        <v>0</v>
      </c>
      <c r="K68">
        <f>Sep!U38</f>
        <v>0</v>
      </c>
      <c r="L68">
        <f>Okt!U38</f>
        <v>0</v>
      </c>
      <c r="M68">
        <f>Nov!U38</f>
        <v>0</v>
      </c>
      <c r="N68">
        <f>Dez!U38</f>
        <v>1</v>
      </c>
      <c r="O68" s="4">
        <f t="shared" si="4"/>
        <v>0.41666666666666669</v>
      </c>
      <c r="P68" s="93">
        <f t="shared" si="5"/>
        <v>5</v>
      </c>
      <c r="Q68" s="6"/>
    </row>
    <row r="69" spans="1:17" x14ac:dyDescent="0.4">
      <c r="A69" t="s">
        <v>123</v>
      </c>
      <c r="C69">
        <f>Jan!U39</f>
        <v>0</v>
      </c>
      <c r="D69">
        <f>Feb!U39</f>
        <v>0</v>
      </c>
      <c r="E69">
        <f>Mrz!U39</f>
        <v>0</v>
      </c>
      <c r="F69">
        <f>Apr!U39</f>
        <v>0</v>
      </c>
      <c r="G69">
        <f>Mai!U39</f>
        <v>0</v>
      </c>
      <c r="H69">
        <f>Jun!U39</f>
        <v>0</v>
      </c>
      <c r="I69">
        <f>Jul!U39</f>
        <v>0</v>
      </c>
      <c r="J69">
        <f>Aug!U39</f>
        <v>0</v>
      </c>
      <c r="K69">
        <f>Sep!U39</f>
        <v>0</v>
      </c>
      <c r="L69">
        <f>Okt!U39</f>
        <v>0</v>
      </c>
      <c r="M69">
        <f>Nov!U39</f>
        <v>0</v>
      </c>
      <c r="N69">
        <f>Dez!U39</f>
        <v>0</v>
      </c>
      <c r="O69" s="4">
        <f t="shared" si="4"/>
        <v>0</v>
      </c>
      <c r="P69" s="93">
        <f t="shared" si="5"/>
        <v>0</v>
      </c>
      <c r="Q69" s="6"/>
    </row>
    <row r="70" spans="1:17" x14ac:dyDescent="0.4">
      <c r="A70" t="s">
        <v>124</v>
      </c>
      <c r="C70">
        <f>Jan!U40</f>
        <v>0</v>
      </c>
      <c r="D70">
        <f>Feb!U40</f>
        <v>0</v>
      </c>
      <c r="E70">
        <f>Mrz!U40</f>
        <v>0</v>
      </c>
      <c r="F70">
        <f>Apr!U40</f>
        <v>0</v>
      </c>
      <c r="G70">
        <f>Mai!U40</f>
        <v>0</v>
      </c>
      <c r="H70">
        <f>Jun!U40</f>
        <v>0</v>
      </c>
      <c r="I70">
        <f>Jul!U40</f>
        <v>0</v>
      </c>
      <c r="J70">
        <f>Aug!U40</f>
        <v>0</v>
      </c>
      <c r="K70">
        <f>Sep!U40</f>
        <v>0</v>
      </c>
      <c r="L70">
        <f>Okt!U40</f>
        <v>0</v>
      </c>
      <c r="M70">
        <f>Nov!U40</f>
        <v>0</v>
      </c>
      <c r="N70">
        <f>Dez!U40</f>
        <v>0</v>
      </c>
      <c r="O70" s="4">
        <f t="shared" si="4"/>
        <v>0</v>
      </c>
      <c r="P70" s="93">
        <f t="shared" si="5"/>
        <v>0</v>
      </c>
      <c r="Q70" s="6"/>
    </row>
    <row r="71" spans="1:17" x14ac:dyDescent="0.4">
      <c r="A71" t="s">
        <v>125</v>
      </c>
      <c r="C71">
        <f>Jan!U41</f>
        <v>0</v>
      </c>
      <c r="D71">
        <f>Feb!U41</f>
        <v>0</v>
      </c>
      <c r="E71">
        <f>Mrz!U41</f>
        <v>0</v>
      </c>
      <c r="F71">
        <f>Apr!U41</f>
        <v>0</v>
      </c>
      <c r="G71">
        <f>Mai!U41</f>
        <v>0</v>
      </c>
      <c r="H71">
        <f>Jun!U41</f>
        <v>0</v>
      </c>
      <c r="I71">
        <f>Jul!U41</f>
        <v>0</v>
      </c>
      <c r="J71">
        <f>Aug!U41</f>
        <v>0</v>
      </c>
      <c r="K71">
        <f>Sep!U41</f>
        <v>0</v>
      </c>
      <c r="L71">
        <f>Okt!U41</f>
        <v>0</v>
      </c>
      <c r="M71">
        <f>Nov!U41</f>
        <v>0</v>
      </c>
      <c r="N71">
        <f>Dez!U41</f>
        <v>0</v>
      </c>
      <c r="O71" s="4">
        <f t="shared" si="4"/>
        <v>0</v>
      </c>
      <c r="P71" s="93">
        <f t="shared" si="5"/>
        <v>0</v>
      </c>
      <c r="Q71" s="6"/>
    </row>
    <row r="72" spans="1:17" x14ac:dyDescent="0.4">
      <c r="A72" t="s">
        <v>126</v>
      </c>
      <c r="C72">
        <f>Jan!U42</f>
        <v>0</v>
      </c>
      <c r="D72">
        <f>Feb!U42</f>
        <v>0</v>
      </c>
      <c r="E72">
        <f>Mrz!U42</f>
        <v>0</v>
      </c>
      <c r="F72">
        <f>Apr!U42</f>
        <v>0</v>
      </c>
      <c r="G72">
        <f>Mai!U42</f>
        <v>0</v>
      </c>
      <c r="H72">
        <f>Jun!U42</f>
        <v>0</v>
      </c>
      <c r="I72">
        <f>Jul!U42</f>
        <v>0</v>
      </c>
      <c r="J72">
        <f>Aug!U42</f>
        <v>0</v>
      </c>
      <c r="K72">
        <f>Sep!U42</f>
        <v>0</v>
      </c>
      <c r="L72">
        <f>Okt!U42</f>
        <v>0</v>
      </c>
      <c r="M72">
        <f>Nov!U42</f>
        <v>0</v>
      </c>
      <c r="N72">
        <f>Dez!U42</f>
        <v>0</v>
      </c>
      <c r="O72" s="4">
        <f t="shared" si="4"/>
        <v>0</v>
      </c>
      <c r="P72" s="93">
        <f t="shared" si="5"/>
        <v>0</v>
      </c>
      <c r="Q72" s="6"/>
    </row>
    <row r="73" spans="1:17" x14ac:dyDescent="0.4">
      <c r="C73" t="s">
        <v>0</v>
      </c>
      <c r="D73" t="s">
        <v>1</v>
      </c>
      <c r="E73" t="s">
        <v>2</v>
      </c>
      <c r="F73" t="s">
        <v>3</v>
      </c>
      <c r="G73" t="s">
        <v>4</v>
      </c>
      <c r="H73" t="s">
        <v>5</v>
      </c>
      <c r="I73" t="s">
        <v>6</v>
      </c>
      <c r="J73" t="s">
        <v>7</v>
      </c>
      <c r="K73" t="s">
        <v>8</v>
      </c>
      <c r="L73" t="s">
        <v>9</v>
      </c>
      <c r="M73" t="s">
        <v>10</v>
      </c>
      <c r="N73" t="s">
        <v>11</v>
      </c>
      <c r="Q73" s="6"/>
    </row>
    <row r="74" spans="1:17" x14ac:dyDescent="0.4">
      <c r="A74" t="s">
        <v>12</v>
      </c>
      <c r="C74">
        <v>19</v>
      </c>
      <c r="D74">
        <v>20</v>
      </c>
      <c r="E74">
        <v>29</v>
      </c>
      <c r="F74">
        <v>30</v>
      </c>
      <c r="G74">
        <v>28</v>
      </c>
      <c r="H74">
        <v>30</v>
      </c>
      <c r="I74">
        <v>30</v>
      </c>
      <c r="J74">
        <v>31</v>
      </c>
      <c r="K74">
        <v>28</v>
      </c>
      <c r="L74">
        <v>30</v>
      </c>
      <c r="M74">
        <v>21</v>
      </c>
      <c r="N74">
        <v>20</v>
      </c>
      <c r="O74" s="4">
        <f t="shared" ref="O74" si="6">AVERAGE(C74:N74)</f>
        <v>26.333333333333332</v>
      </c>
      <c r="P74" s="93">
        <f t="shared" ref="P74" si="7">SUM(C74:N74)</f>
        <v>316</v>
      </c>
      <c r="Q74" s="6"/>
    </row>
    <row r="75" spans="1:17" x14ac:dyDescent="0.4">
      <c r="A75" t="s">
        <v>13</v>
      </c>
      <c r="O75" s="8"/>
      <c r="P75" s="8"/>
      <c r="Q75" s="6"/>
    </row>
    <row r="76" spans="1:17" x14ac:dyDescent="0.4">
      <c r="A76" t="s">
        <v>50</v>
      </c>
      <c r="O76" s="8"/>
      <c r="P76" s="8"/>
      <c r="Q76" s="6"/>
    </row>
    <row r="77" spans="1:17" x14ac:dyDescent="0.4">
      <c r="A77" t="s">
        <v>61</v>
      </c>
      <c r="O77" s="8"/>
      <c r="P77" s="8"/>
      <c r="Q77" s="6"/>
    </row>
    <row r="78" spans="1:17" x14ac:dyDescent="0.4">
      <c r="A78" t="s">
        <v>38</v>
      </c>
      <c r="O78" s="8"/>
      <c r="P78" s="8"/>
      <c r="Q78" s="6"/>
    </row>
    <row r="79" spans="1:17" x14ac:dyDescent="0.4">
      <c r="A79" t="s">
        <v>14</v>
      </c>
      <c r="O79" s="8"/>
      <c r="P79" s="8"/>
      <c r="Q79" s="6"/>
    </row>
    <row r="80" spans="1:17" x14ac:dyDescent="0.4">
      <c r="A80" t="s">
        <v>22</v>
      </c>
      <c r="O80" s="8"/>
      <c r="P80" s="8"/>
      <c r="Q80" s="6"/>
    </row>
    <row r="81" spans="1:17" x14ac:dyDescent="0.4">
      <c r="A81" t="s">
        <v>15</v>
      </c>
      <c r="O81" s="8"/>
      <c r="P81" s="8"/>
      <c r="Q81" s="6"/>
    </row>
  </sheetData>
  <protectedRanges>
    <protectedRange sqref="A3 C33:N34 C57:N60 C74:N81 C17:N18 C27:N27 C9:N11 C13:N15 C24:N25 C30:N31 Q25:Q57 C36:C38 E36:N38 D36:D37 Q7 C6:N7 C40:N47 C49:N55 C62:N72 Q9:Q23 C20:N22" name="Bereich1"/>
    <protectedRange sqref="C28:N28" name="Bereich1_1"/>
  </protectedRanges>
  <mergeCells count="1">
    <mergeCell ref="A1:K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70" orientation="landscape" horizontalDpi="4294967295" r:id="rId1"/>
  <headerFooter alignWithMargins="0"/>
  <rowBreaks count="1" manualBreakCount="1">
    <brk id="38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1ABC-0E7C-4DC7-80FD-0584D7DA1F19}">
  <dimension ref="A1:O17"/>
  <sheetViews>
    <sheetView workbookViewId="0">
      <selection activeCell="P6" sqref="P6"/>
    </sheetView>
  </sheetViews>
  <sheetFormatPr baseColWidth="10" defaultRowHeight="12.7" x14ac:dyDescent="0.4"/>
  <cols>
    <col min="1" max="1" width="22.87890625" customWidth="1"/>
    <col min="2" max="2" width="5.5859375" bestFit="1" customWidth="1"/>
    <col min="3" max="3" width="7" bestFit="1" customWidth="1"/>
    <col min="4" max="4" width="7.29296875" bestFit="1" customWidth="1"/>
    <col min="5" max="5" width="5.1171875" bestFit="1" customWidth="1"/>
    <col min="6" max="6" width="4.703125" bestFit="1" customWidth="1"/>
    <col min="7" max="9" width="5.64453125" customWidth="1"/>
    <col min="10" max="10" width="6.87890625" bestFit="1" customWidth="1"/>
    <col min="11" max="11" width="10" bestFit="1" customWidth="1"/>
    <col min="12" max="12" width="7.5859375" bestFit="1" customWidth="1"/>
    <col min="13" max="13" width="9.1171875" bestFit="1" customWidth="1"/>
    <col min="14" max="14" width="9.41015625" bestFit="1" customWidth="1"/>
    <col min="15" max="15" width="6.8203125" customWidth="1"/>
  </cols>
  <sheetData>
    <row r="1" spans="1:15" ht="20" x14ac:dyDescent="0.6">
      <c r="A1" s="109" t="s">
        <v>232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3" spans="1:15" x14ac:dyDescent="0.4">
      <c r="A3" s="110" t="s">
        <v>237</v>
      </c>
      <c r="B3" s="110"/>
      <c r="C3" s="3" t="s">
        <v>243</v>
      </c>
    </row>
    <row r="5" spans="1:15" x14ac:dyDescent="0.4">
      <c r="B5" t="s">
        <v>99</v>
      </c>
      <c r="C5" t="s">
        <v>216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  <c r="O5" t="s">
        <v>217</v>
      </c>
    </row>
    <row r="6" spans="1:15" x14ac:dyDescent="0.4">
      <c r="A6" t="s">
        <v>218</v>
      </c>
      <c r="B6" t="s">
        <v>100</v>
      </c>
      <c r="C6">
        <f>Jan!R7</f>
        <v>-1.71</v>
      </c>
      <c r="D6">
        <f>Feb!R7</f>
        <v>2</v>
      </c>
      <c r="E6">
        <f>Mrz!R7</f>
        <v>-1.33</v>
      </c>
      <c r="F6">
        <f>Apr!R7</f>
        <v>-2.17</v>
      </c>
      <c r="G6">
        <f>Mai!R7</f>
        <v>-4.3099999999999996</v>
      </c>
      <c r="H6">
        <f>Jun!R7</f>
        <v>1.02</v>
      </c>
      <c r="I6">
        <f>Jul!R7</f>
        <v>-2.1800000000000002</v>
      </c>
      <c r="J6">
        <f>Aug!R7</f>
        <v>-2.92</v>
      </c>
      <c r="K6">
        <f>Sep!R7</f>
        <v>0.86</v>
      </c>
      <c r="L6">
        <f>Okt!R7</f>
        <v>-1.06</v>
      </c>
      <c r="M6">
        <f>Nov!R7</f>
        <v>-2.11</v>
      </c>
      <c r="N6">
        <f>Dez!R7</f>
        <v>-0.89</v>
      </c>
      <c r="O6">
        <f>Überblick!Q9</f>
        <v>-1.3</v>
      </c>
    </row>
    <row r="7" spans="1:15" x14ac:dyDescent="0.4">
      <c r="A7" t="s">
        <v>219</v>
      </c>
      <c r="B7" t="s">
        <v>100</v>
      </c>
      <c r="C7">
        <f>Jan!R8</f>
        <v>0.08</v>
      </c>
      <c r="D7">
        <f>Feb!R8</f>
        <v>3.82</v>
      </c>
      <c r="E7">
        <f>Mrz!R8</f>
        <v>0.52</v>
      </c>
      <c r="F7">
        <f>Apr!R8</f>
        <v>-1.1499999999999999</v>
      </c>
      <c r="G7">
        <f>Mai!R8</f>
        <v>-1.92</v>
      </c>
      <c r="H7">
        <f>Jun!R8</f>
        <v>2.2400000000000002</v>
      </c>
      <c r="I7">
        <f>Jul!R8</f>
        <v>0.49</v>
      </c>
      <c r="J7">
        <f>Aug!R8</f>
        <v>-0.04</v>
      </c>
      <c r="K7">
        <f>Sep!R8</f>
        <v>2.68</v>
      </c>
      <c r="L7">
        <f>Okt!R8</f>
        <v>-0.04</v>
      </c>
      <c r="M7">
        <f>Nov!R8</f>
        <v>-0.04</v>
      </c>
      <c r="N7">
        <f>Dez!R8</f>
        <v>0.15</v>
      </c>
      <c r="O7">
        <f>Überblick!Q10</f>
        <v>0.5</v>
      </c>
    </row>
    <row r="8" spans="1:15" x14ac:dyDescent="0.4">
      <c r="A8" t="s">
        <v>57</v>
      </c>
      <c r="B8" t="s">
        <v>100</v>
      </c>
      <c r="C8">
        <f>Jan!R9</f>
        <v>-1.05</v>
      </c>
      <c r="D8">
        <f>Feb!R9</f>
        <v>3.17</v>
      </c>
      <c r="E8">
        <f>Mrz!R9</f>
        <v>-0.45</v>
      </c>
      <c r="F8">
        <f>Apr!R9</f>
        <v>-2.11</v>
      </c>
      <c r="G8">
        <f>Mai!R9</f>
        <v>-3.28</v>
      </c>
      <c r="H8">
        <f>Jun!R9</f>
        <v>1.19</v>
      </c>
      <c r="I8">
        <f>Jul!R9</f>
        <v>-1.1599999999999999</v>
      </c>
      <c r="J8">
        <f>Aug!R9</f>
        <v>-1.77</v>
      </c>
      <c r="K8">
        <f>Sep!R9</f>
        <v>1.73</v>
      </c>
      <c r="L8">
        <f>Okt!R9</f>
        <v>-0.53</v>
      </c>
      <c r="M8">
        <f>Nov!R9</f>
        <v>-1.1299999999999999</v>
      </c>
      <c r="N8">
        <f>Dez!R9</f>
        <v>-0.38</v>
      </c>
      <c r="O8">
        <f>Überblick!Q11</f>
        <v>-0.5</v>
      </c>
    </row>
    <row r="9" spans="1:15" x14ac:dyDescent="0.4">
      <c r="C9" t="s">
        <v>216</v>
      </c>
      <c r="D9" t="s">
        <v>1</v>
      </c>
      <c r="E9" t="s">
        <v>2</v>
      </c>
      <c r="F9" t="s">
        <v>3</v>
      </c>
      <c r="G9" t="s">
        <v>4</v>
      </c>
      <c r="H9" t="s">
        <v>5</v>
      </c>
      <c r="I9" t="s">
        <v>6</v>
      </c>
      <c r="J9" t="s">
        <v>7</v>
      </c>
      <c r="K9" t="s">
        <v>8</v>
      </c>
      <c r="L9" t="s">
        <v>9</v>
      </c>
      <c r="M9" t="s">
        <v>10</v>
      </c>
      <c r="N9" t="s">
        <v>11</v>
      </c>
      <c r="O9" t="s">
        <v>217</v>
      </c>
    </row>
    <row r="10" spans="1:15" x14ac:dyDescent="0.4">
      <c r="A10" t="s">
        <v>220</v>
      </c>
      <c r="B10" t="s">
        <v>101</v>
      </c>
      <c r="C10">
        <v>5.2</v>
      </c>
      <c r="D10">
        <v>2.2999999999999998</v>
      </c>
      <c r="E10">
        <v>1.7</v>
      </c>
      <c r="F10">
        <v>-1.6</v>
      </c>
      <c r="G10">
        <v>6.3</v>
      </c>
      <c r="H10">
        <v>8.3000000000000007</v>
      </c>
      <c r="I10" s="95">
        <v>13.8</v>
      </c>
      <c r="J10">
        <v>6.3</v>
      </c>
      <c r="K10">
        <v>2.4</v>
      </c>
      <c r="L10">
        <v>-2.1</v>
      </c>
      <c r="M10">
        <v>4.9000000000000004</v>
      </c>
      <c r="N10">
        <v>5.8</v>
      </c>
      <c r="O10">
        <v>4.5999999999999996</v>
      </c>
    </row>
    <row r="11" spans="1:15" x14ac:dyDescent="0.4">
      <c r="C11" t="s">
        <v>216</v>
      </c>
      <c r="D11" t="s">
        <v>1</v>
      </c>
      <c r="E11" t="s">
        <v>2</v>
      </c>
      <c r="F11" t="s">
        <v>3</v>
      </c>
      <c r="G11" t="s">
        <v>4</v>
      </c>
      <c r="H11" t="s">
        <v>5</v>
      </c>
      <c r="I11" t="s">
        <v>6</v>
      </c>
      <c r="J11" t="s">
        <v>7</v>
      </c>
      <c r="K11" t="s">
        <v>8</v>
      </c>
      <c r="L11" t="s">
        <v>9</v>
      </c>
      <c r="M11" t="s">
        <v>10</v>
      </c>
      <c r="N11" t="s">
        <v>11</v>
      </c>
      <c r="O11" t="s">
        <v>217</v>
      </c>
    </row>
    <row r="12" spans="1:15" x14ac:dyDescent="0.4">
      <c r="A12" t="s">
        <v>37</v>
      </c>
      <c r="B12" t="s">
        <v>104</v>
      </c>
      <c r="C12">
        <f>Jan!R14</f>
        <v>97.8</v>
      </c>
      <c r="D12">
        <f>Feb!R14</f>
        <v>-27</v>
      </c>
      <c r="E12">
        <f>Mrz!R14</f>
        <v>3.8</v>
      </c>
      <c r="F12">
        <f>Apr!R14</f>
        <v>-23</v>
      </c>
      <c r="G12">
        <f>Mai!R14</f>
        <v>48.8</v>
      </c>
      <c r="H12">
        <f>Jun!R14</f>
        <v>91.6</v>
      </c>
      <c r="I12">
        <f>Jul!R14</f>
        <v>173.2</v>
      </c>
      <c r="J12">
        <f>Aug!R14</f>
        <v>-31.2</v>
      </c>
      <c r="K12">
        <f>Sep!R14</f>
        <v>-32.4</v>
      </c>
      <c r="L12">
        <f>Okt!R14</f>
        <v>-61.6</v>
      </c>
      <c r="M12">
        <f>Nov!R14</f>
        <v>-36.4</v>
      </c>
      <c r="N12">
        <f>Dez!R14</f>
        <v>6.2</v>
      </c>
      <c r="O12">
        <f>Überblick!Q25</f>
        <v>210.8</v>
      </c>
    </row>
    <row r="13" spans="1:15" x14ac:dyDescent="0.4">
      <c r="A13" t="s">
        <v>221</v>
      </c>
      <c r="C13" s="82">
        <f>100*C17/C16</f>
        <v>237.74647887323943</v>
      </c>
      <c r="D13" s="82">
        <f t="shared" ref="D13:O13" si="0">100*D17/D16</f>
        <v>60.869565217391305</v>
      </c>
      <c r="E13" s="82">
        <f t="shared" si="0"/>
        <v>105</v>
      </c>
      <c r="F13" s="82">
        <f t="shared" si="0"/>
        <v>75.531914893617028</v>
      </c>
      <c r="G13" s="82">
        <f t="shared" si="0"/>
        <v>133.42465753424656</v>
      </c>
      <c r="H13" s="82">
        <f t="shared" si="0"/>
        <v>161.06666666666663</v>
      </c>
      <c r="I13" s="82">
        <f t="shared" si="0"/>
        <v>206.91358024691354</v>
      </c>
      <c r="J13" s="82">
        <f t="shared" si="0"/>
        <v>78.181818181818201</v>
      </c>
      <c r="K13" s="82">
        <f t="shared" si="0"/>
        <v>69.433962264150949</v>
      </c>
      <c r="L13" s="82">
        <f t="shared" si="0"/>
        <v>35.83333333333335</v>
      </c>
      <c r="M13" s="82">
        <f t="shared" si="0"/>
        <v>57.176470588235318</v>
      </c>
      <c r="N13" s="82">
        <f t="shared" si="0"/>
        <v>107.04545454545455</v>
      </c>
      <c r="O13" s="82">
        <f t="shared" si="0"/>
        <v>116.40466926070037</v>
      </c>
    </row>
    <row r="14" spans="1:15" x14ac:dyDescent="0.4">
      <c r="A14" t="s">
        <v>39</v>
      </c>
      <c r="B14" t="s">
        <v>105</v>
      </c>
      <c r="C14">
        <f>Jan!R16</f>
        <v>-28.25</v>
      </c>
      <c r="D14">
        <f>Feb!R16</f>
        <v>-7.5</v>
      </c>
      <c r="E14">
        <f>Mrz!R16</f>
        <v>2.94</v>
      </c>
      <c r="F14">
        <f>Apr!R16</f>
        <v>30.78</v>
      </c>
      <c r="G14">
        <f>Mai!R16</f>
        <v>-39.67</v>
      </c>
      <c r="H14">
        <f>Jun!R16</f>
        <v>-1.87</v>
      </c>
      <c r="I14">
        <f>Jul!R16</f>
        <v>-66.08</v>
      </c>
      <c r="J14">
        <f>Aug!R16</f>
        <v>-56.55</v>
      </c>
      <c r="K14">
        <f>Sep!R16</f>
        <v>7.38</v>
      </c>
      <c r="L14">
        <f>Okt!R16</f>
        <v>27.55</v>
      </c>
      <c r="M14">
        <f>Nov!R16</f>
        <v>-18.600000000000001</v>
      </c>
      <c r="N14">
        <f>Dez!R16</f>
        <v>-22.13</v>
      </c>
      <c r="O14">
        <f>Überblick!Q28</f>
        <v>-173</v>
      </c>
    </row>
    <row r="15" spans="1:15" x14ac:dyDescent="0.4">
      <c r="C15" t="s">
        <v>216</v>
      </c>
      <c r="D15" t="s">
        <v>1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10</v>
      </c>
      <c r="N15" t="s">
        <v>11</v>
      </c>
      <c r="O15" t="s">
        <v>217</v>
      </c>
    </row>
    <row r="16" spans="1:15" x14ac:dyDescent="0.4">
      <c r="A16" t="s">
        <v>222</v>
      </c>
      <c r="B16" t="s">
        <v>104</v>
      </c>
      <c r="C16">
        <v>71</v>
      </c>
      <c r="D16">
        <v>69</v>
      </c>
      <c r="E16">
        <v>76</v>
      </c>
      <c r="F16">
        <v>94</v>
      </c>
      <c r="G16">
        <v>146</v>
      </c>
      <c r="H16">
        <v>150</v>
      </c>
      <c r="I16">
        <v>162</v>
      </c>
      <c r="J16">
        <v>143</v>
      </c>
      <c r="K16">
        <v>106</v>
      </c>
      <c r="L16">
        <v>96</v>
      </c>
      <c r="M16">
        <v>85</v>
      </c>
      <c r="N16">
        <v>88</v>
      </c>
      <c r="O16">
        <v>1285</v>
      </c>
    </row>
    <row r="17" spans="1:15" x14ac:dyDescent="0.4">
      <c r="A17" t="s">
        <v>37</v>
      </c>
      <c r="B17" t="s">
        <v>104</v>
      </c>
      <c r="C17">
        <f>Jan!Q14</f>
        <v>168.8</v>
      </c>
      <c r="D17">
        <f>Feb!Q14</f>
        <v>42</v>
      </c>
      <c r="E17">
        <f>Mrz!Q14</f>
        <v>79.8</v>
      </c>
      <c r="F17">
        <f>Apr!Q14</f>
        <v>71</v>
      </c>
      <c r="G17">
        <f>Mai!Q14</f>
        <v>194.8</v>
      </c>
      <c r="H17">
        <f>Jun!Q14</f>
        <v>241.59999999999997</v>
      </c>
      <c r="I17">
        <f>Jul!Q14</f>
        <v>335.19999999999993</v>
      </c>
      <c r="J17">
        <f>Aug!Q14</f>
        <v>111.80000000000003</v>
      </c>
      <c r="K17">
        <f>Sep!Q14</f>
        <v>73.600000000000009</v>
      </c>
      <c r="L17">
        <f>Okt!Q14</f>
        <v>34.400000000000013</v>
      </c>
      <c r="M17">
        <f>Nov!Q14</f>
        <v>48.600000000000016</v>
      </c>
      <c r="N17">
        <f>Dez!Q14</f>
        <v>94.2</v>
      </c>
      <c r="O17">
        <f>Überblick!P25</f>
        <v>1495.7999999999997</v>
      </c>
    </row>
  </sheetData>
  <protectedRanges>
    <protectedRange sqref="C10:O10 C12:O12 C17:O17 A3 C6:O8 C14:O14" name="Bereich1"/>
  </protectedRanges>
  <mergeCells count="2">
    <mergeCell ref="A3:B3"/>
    <mergeCell ref="A1:K1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/>
  <dimension ref="A1:F32"/>
  <sheetViews>
    <sheetView workbookViewId="0">
      <selection activeCell="H3" sqref="H3"/>
    </sheetView>
  </sheetViews>
  <sheetFormatPr baseColWidth="10" defaultRowHeight="12.7" x14ac:dyDescent="0.4"/>
  <sheetData>
    <row r="1" spans="1:6" ht="22.7" x14ac:dyDescent="0.7">
      <c r="A1" s="2" t="s">
        <v>41</v>
      </c>
    </row>
    <row r="3" spans="1:6" x14ac:dyDescent="0.4">
      <c r="A3" s="3" t="s">
        <v>244</v>
      </c>
    </row>
    <row r="5" spans="1:6" x14ac:dyDescent="0.4">
      <c r="A5" s="1" t="s">
        <v>45</v>
      </c>
      <c r="B5" s="1"/>
      <c r="C5" s="1"/>
      <c r="E5" s="1" t="s">
        <v>42</v>
      </c>
    </row>
    <row r="7" spans="1:6" x14ac:dyDescent="0.4">
      <c r="A7" t="s">
        <v>36</v>
      </c>
      <c r="E7" t="s">
        <v>76</v>
      </c>
    </row>
    <row r="8" spans="1:6" x14ac:dyDescent="0.4">
      <c r="A8" t="s">
        <v>23</v>
      </c>
      <c r="E8" t="s">
        <v>75</v>
      </c>
    </row>
    <row r="9" spans="1:6" x14ac:dyDescent="0.4">
      <c r="A9" t="s">
        <v>24</v>
      </c>
      <c r="E9" t="s">
        <v>74</v>
      </c>
    </row>
    <row r="10" spans="1:6" x14ac:dyDescent="0.4">
      <c r="A10" t="s">
        <v>25</v>
      </c>
      <c r="E10" t="s">
        <v>73</v>
      </c>
    </row>
    <row r="11" spans="1:6" x14ac:dyDescent="0.4">
      <c r="A11" t="s">
        <v>26</v>
      </c>
      <c r="E11" t="s">
        <v>72</v>
      </c>
    </row>
    <row r="12" spans="1:6" x14ac:dyDescent="0.4">
      <c r="A12" t="s">
        <v>28</v>
      </c>
      <c r="F12" t="s">
        <v>43</v>
      </c>
    </row>
    <row r="13" spans="1:6" x14ac:dyDescent="0.4">
      <c r="A13" t="s">
        <v>27</v>
      </c>
      <c r="E13" t="s">
        <v>71</v>
      </c>
    </row>
    <row r="14" spans="1:6" x14ac:dyDescent="0.4">
      <c r="A14" t="s">
        <v>30</v>
      </c>
      <c r="F14" t="s">
        <v>69</v>
      </c>
    </row>
    <row r="15" spans="1:6" x14ac:dyDescent="0.4">
      <c r="A15" t="s">
        <v>29</v>
      </c>
      <c r="E15" t="s">
        <v>70</v>
      </c>
    </row>
    <row r="16" spans="1:6" x14ac:dyDescent="0.4">
      <c r="A16" t="s">
        <v>31</v>
      </c>
      <c r="E16" t="s">
        <v>77</v>
      </c>
    </row>
    <row r="17" spans="1:6" x14ac:dyDescent="0.4">
      <c r="A17" t="s">
        <v>32</v>
      </c>
      <c r="E17" t="s">
        <v>78</v>
      </c>
    </row>
    <row r="18" spans="1:6" x14ac:dyDescent="0.4">
      <c r="A18" t="s">
        <v>33</v>
      </c>
      <c r="E18" t="s">
        <v>79</v>
      </c>
    </row>
    <row r="19" spans="1:6" x14ac:dyDescent="0.4">
      <c r="A19" t="s">
        <v>34</v>
      </c>
      <c r="E19" t="s">
        <v>80</v>
      </c>
    </row>
    <row r="20" spans="1:6" x14ac:dyDescent="0.4">
      <c r="A20" t="s">
        <v>35</v>
      </c>
      <c r="E20" t="s">
        <v>81</v>
      </c>
    </row>
    <row r="21" spans="1:6" x14ac:dyDescent="0.4">
      <c r="E21" t="s">
        <v>82</v>
      </c>
    </row>
    <row r="22" spans="1:6" x14ac:dyDescent="0.4">
      <c r="F22" t="s">
        <v>44</v>
      </c>
    </row>
    <row r="23" spans="1:6" x14ac:dyDescent="0.4">
      <c r="A23" s="1" t="s">
        <v>46</v>
      </c>
      <c r="E23" s="3" t="s">
        <v>83</v>
      </c>
    </row>
    <row r="24" spans="1:6" x14ac:dyDescent="0.4">
      <c r="E24" s="3" t="s">
        <v>88</v>
      </c>
    </row>
    <row r="25" spans="1:6" x14ac:dyDescent="0.4">
      <c r="A25" t="s">
        <v>84</v>
      </c>
      <c r="F25" t="s">
        <v>89</v>
      </c>
    </row>
    <row r="26" spans="1:6" x14ac:dyDescent="0.4">
      <c r="B26" t="s">
        <v>47</v>
      </c>
      <c r="F26" t="s">
        <v>92</v>
      </c>
    </row>
    <row r="27" spans="1:6" x14ac:dyDescent="0.4">
      <c r="B27" t="s">
        <v>48</v>
      </c>
      <c r="F27" t="s">
        <v>93</v>
      </c>
    </row>
    <row r="28" spans="1:6" x14ac:dyDescent="0.4">
      <c r="B28" t="s">
        <v>49</v>
      </c>
      <c r="F28" t="s">
        <v>94</v>
      </c>
    </row>
    <row r="29" spans="1:6" x14ac:dyDescent="0.4">
      <c r="A29" t="s">
        <v>85</v>
      </c>
      <c r="F29" t="s">
        <v>91</v>
      </c>
    </row>
    <row r="30" spans="1:6" x14ac:dyDescent="0.4">
      <c r="B30" t="s">
        <v>60</v>
      </c>
      <c r="F30" t="s">
        <v>90</v>
      </c>
    </row>
    <row r="31" spans="1:6" x14ac:dyDescent="0.4">
      <c r="A31" t="s">
        <v>86</v>
      </c>
      <c r="E31" t="s">
        <v>95</v>
      </c>
    </row>
    <row r="32" spans="1:6" x14ac:dyDescent="0.4">
      <c r="B32" t="s">
        <v>87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1144-2265-48A5-A773-1EF77914BEF8}">
  <dimension ref="A1:BB42"/>
  <sheetViews>
    <sheetView zoomScaleNormal="100" zoomScaleSheetLayoutView="100" workbookViewId="0">
      <selection activeCell="B10" sqref="B10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15" max="15" width="10.8203125" customWidth="1"/>
    <col min="21" max="21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205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7" t="s">
        <v>200</v>
      </c>
      <c r="K6" s="108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32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26"/>
      <c r="L7" s="32" t="s">
        <v>192</v>
      </c>
      <c r="M7" s="89" t="s">
        <v>100</v>
      </c>
      <c r="N7" s="57">
        <f>AVERAGE(B10:B19,B21:B30,B32:B40)</f>
        <v>6.6</v>
      </c>
      <c r="O7" s="56">
        <f>MAX(B10:B19,B21:B30,B32:B40)</f>
        <v>15.7</v>
      </c>
      <c r="P7" s="36">
        <f>MIN(B10:B19,B21:B30,B32:B40)</f>
        <v>-8</v>
      </c>
      <c r="Q7" s="32"/>
      <c r="R7" s="34">
        <v>2</v>
      </c>
      <c r="S7" s="63" t="s">
        <v>191</v>
      </c>
      <c r="T7" s="34" t="s">
        <v>190</v>
      </c>
      <c r="U7" s="34">
        <f>COUNTIF($C$10:$C$19,"&lt;=-10")+COUNTIF($C$21:$C$30,"&lt;=-10")+COUNTIF($C$32:$C$40,"&lt;=-10")</f>
        <v>2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AVERAGE(C10:C19,C21:C30,C32:C40)</f>
        <v>-1.7857142857142738E-2</v>
      </c>
      <c r="O8" s="56">
        <f>MAX(C10:C19,C21:C30,C32:C40)</f>
        <v>5.0999999999999996</v>
      </c>
      <c r="P8" s="36">
        <f>MIN(C10:C19,C21:C30,C32:C40)</f>
        <v>-10.9</v>
      </c>
      <c r="Q8" s="32"/>
      <c r="R8" s="34">
        <v>3.82</v>
      </c>
      <c r="S8" s="63" t="s">
        <v>185</v>
      </c>
      <c r="T8" s="36" t="s">
        <v>184</v>
      </c>
      <c r="U8" s="36">
        <f>COUNTIF($B$10:$B$19,"&lt;=0")+COUNTIF($B$21:$B$30,"&lt;=0")+COUNTIF($B$32:$B$40,"&lt;=0")</f>
        <v>4</v>
      </c>
      <c r="V8" s="34">
        <v>-0.9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AVERAGE(E10:E19,E21:E30,E32:E40)</f>
        <v>3.2714285714285714</v>
      </c>
      <c r="O9" s="56">
        <f>MAX(E10:E19,E21:E30,E32:E40)</f>
        <v>9.6999999999999993</v>
      </c>
      <c r="P9" s="36">
        <f>MIN(E10:E19,E21:E30,E32:E40)</f>
        <v>-9.1999999999999993</v>
      </c>
      <c r="Q9" s="32"/>
      <c r="R9" s="34">
        <v>3.17</v>
      </c>
      <c r="S9" s="63" t="s">
        <v>177</v>
      </c>
      <c r="T9" s="37" t="s">
        <v>176</v>
      </c>
      <c r="U9" s="37">
        <f>COUNTIF($C$10:$C$19,"&lt;0")+COUNTIF($C$21:$C$30,"&lt;0")+COUNTIF($C$32:$C$40,"&lt;0")</f>
        <v>10</v>
      </c>
      <c r="V9" s="34">
        <v>-13.1</v>
      </c>
    </row>
    <row r="10" spans="1:54" x14ac:dyDescent="0.4">
      <c r="A10" s="31">
        <v>1</v>
      </c>
      <c r="B10" s="30">
        <v>4.4000000000000004</v>
      </c>
      <c r="C10" s="23">
        <v>1.1000000000000001</v>
      </c>
      <c r="D10" s="23">
        <f t="shared" ref="D10:D19" si="0">SUM(B10-C10)</f>
        <v>3.3000000000000003</v>
      </c>
      <c r="E10" s="29">
        <v>3</v>
      </c>
      <c r="F10" s="28">
        <v>27</v>
      </c>
      <c r="G10" s="23">
        <v>15.6</v>
      </c>
      <c r="H10" s="23">
        <f>G10</f>
        <v>15.6</v>
      </c>
      <c r="I10" s="27">
        <v>0</v>
      </c>
      <c r="J10" s="23">
        <v>0</v>
      </c>
      <c r="K10" s="23">
        <v>0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COUNTIF($B$10:$B$19,"&lt;10")+COUNTIF($B$21:$B$30,"&lt;10")+COUNTIF($B$32:$B$40,"&lt;10")</f>
        <v>20</v>
      </c>
      <c r="V10" s="32"/>
    </row>
    <row r="11" spans="1:54" x14ac:dyDescent="0.4">
      <c r="A11" s="31">
        <v>2</v>
      </c>
      <c r="B11" s="30">
        <v>7.2</v>
      </c>
      <c r="C11" s="23">
        <v>2.8</v>
      </c>
      <c r="D11" s="23">
        <f t="shared" si="0"/>
        <v>4.4000000000000004</v>
      </c>
      <c r="E11" s="29">
        <v>5.2</v>
      </c>
      <c r="F11" s="28">
        <v>29</v>
      </c>
      <c r="G11" s="23">
        <v>1</v>
      </c>
      <c r="H11" s="23">
        <f t="shared" ref="H11:H19" si="1">H10+G11</f>
        <v>16.600000000000001</v>
      </c>
      <c r="I11" s="27">
        <v>0</v>
      </c>
      <c r="J11" s="23">
        <v>0</v>
      </c>
      <c r="K11" s="23">
        <v>0</v>
      </c>
      <c r="L11" s="32" t="s">
        <v>173</v>
      </c>
      <c r="M11" s="89" t="s">
        <v>102</v>
      </c>
      <c r="N11" s="57">
        <f>AVERAGE(F10:F19,F21:F30,F32:F40)</f>
        <v>24.357142857142858</v>
      </c>
      <c r="O11" s="56">
        <f>MAX(F10:F19,F21:F30,F32:F40)</f>
        <v>55</v>
      </c>
      <c r="P11" s="36">
        <f>MIN(F10:F19,F21:F30,F32:F40)</f>
        <v>10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COUNTIF($B$10:$B$19,"&gt;=20")+COUNTIF($B$21:$B$30,"&gt;=20")+COUNTIF($B$32:$B$40,"&gt;=20")</f>
        <v>0</v>
      </c>
      <c r="V11" s="32"/>
    </row>
    <row r="12" spans="1:54" x14ac:dyDescent="0.4">
      <c r="A12" s="31">
        <v>3</v>
      </c>
      <c r="B12" s="30">
        <v>9.4</v>
      </c>
      <c r="C12" s="23">
        <v>5</v>
      </c>
      <c r="D12" s="23">
        <f t="shared" si="0"/>
        <v>4.4000000000000004</v>
      </c>
      <c r="E12" s="29">
        <v>6.8</v>
      </c>
      <c r="F12" s="28">
        <v>55</v>
      </c>
      <c r="G12" s="23">
        <v>4</v>
      </c>
      <c r="H12" s="23">
        <f t="shared" si="1"/>
        <v>20.6</v>
      </c>
      <c r="I12" s="27">
        <v>0</v>
      </c>
      <c r="J12" s="23">
        <v>0</v>
      </c>
      <c r="K12" s="23">
        <v>0</v>
      </c>
      <c r="L12" s="32"/>
      <c r="M12" s="32"/>
      <c r="N12" s="57"/>
      <c r="O12" s="56"/>
      <c r="P12" s="36"/>
      <c r="Q12" s="32"/>
      <c r="R12" s="32"/>
      <c r="S12" s="63" t="s">
        <v>170</v>
      </c>
      <c r="T12" s="48" t="s">
        <v>169</v>
      </c>
      <c r="U12" s="48">
        <f>COUNTIF($B$10:$B$19,"&gt;=25")+COUNTIF($B$21:$B$30,"&gt;=25")+COUNTIF($B$32:$B$40,"&gt;=25")</f>
        <v>0</v>
      </c>
      <c r="V12" s="34">
        <v>0</v>
      </c>
    </row>
    <row r="13" spans="1:54" x14ac:dyDescent="0.4">
      <c r="A13" s="31">
        <v>4</v>
      </c>
      <c r="B13" s="30">
        <v>7.8</v>
      </c>
      <c r="C13" s="23">
        <v>2.8</v>
      </c>
      <c r="D13" s="23">
        <f t="shared" si="0"/>
        <v>5</v>
      </c>
      <c r="E13" s="29">
        <v>6.8</v>
      </c>
      <c r="F13" s="28">
        <v>34</v>
      </c>
      <c r="G13" s="23">
        <v>0</v>
      </c>
      <c r="H13" s="23">
        <f t="shared" si="1"/>
        <v>20.6</v>
      </c>
      <c r="I13" s="27">
        <v>0</v>
      </c>
      <c r="J13" s="23">
        <v>0</v>
      </c>
      <c r="K13" s="23">
        <v>0</v>
      </c>
      <c r="L13" s="32" t="s">
        <v>168</v>
      </c>
      <c r="M13" s="89" t="s">
        <v>104</v>
      </c>
      <c r="N13" s="57">
        <f>AVERAGE(G10:G19,G21:G30,G32:G40)</f>
        <v>1.5</v>
      </c>
      <c r="O13" s="56">
        <f>MAX(G10:G19,G21:G30,G32:G40)</f>
        <v>15.6</v>
      </c>
      <c r="P13" s="36">
        <f>MIN(G10:G19,G21:G30,G32:G40)</f>
        <v>0</v>
      </c>
      <c r="Q13" s="32"/>
      <c r="S13" s="63" t="s">
        <v>167</v>
      </c>
      <c r="T13" s="55" t="s">
        <v>166</v>
      </c>
      <c r="U13" s="55">
        <f>COUNTIF($B$10:$B$19,"&gt;=30")+COUNTIF($B$21:$B$30,"&gt;=30")+COUNTIF($B$32:$B$40,"&gt;=30")</f>
        <v>0</v>
      </c>
      <c r="V13" s="34">
        <v>0</v>
      </c>
    </row>
    <row r="14" spans="1:54" x14ac:dyDescent="0.4">
      <c r="A14" s="31">
        <v>5</v>
      </c>
      <c r="B14" s="30">
        <v>8.9</v>
      </c>
      <c r="C14" s="23">
        <v>2.2000000000000002</v>
      </c>
      <c r="D14" s="23">
        <f t="shared" si="0"/>
        <v>6.7</v>
      </c>
      <c r="E14" s="29">
        <v>6.8</v>
      </c>
      <c r="F14" s="28">
        <v>19</v>
      </c>
      <c r="G14" s="23">
        <v>0</v>
      </c>
      <c r="H14" s="23">
        <f t="shared" si="1"/>
        <v>20.6</v>
      </c>
      <c r="I14" s="27">
        <v>0</v>
      </c>
      <c r="J14" s="23">
        <v>0</v>
      </c>
      <c r="K14" s="23">
        <v>0</v>
      </c>
      <c r="L14" s="32" t="s">
        <v>165</v>
      </c>
      <c r="M14" s="89" t="s">
        <v>104</v>
      </c>
      <c r="N14" s="64"/>
      <c r="O14" s="32"/>
      <c r="P14" s="32"/>
      <c r="Q14" s="40">
        <f>MAX(H10:H19,H21:H30,H32:H40)</f>
        <v>42</v>
      </c>
      <c r="R14" s="34">
        <v>-27</v>
      </c>
      <c r="S14" s="63" t="s">
        <v>164</v>
      </c>
      <c r="T14" s="59" t="s">
        <v>163</v>
      </c>
      <c r="U14" s="59">
        <f>COUNTIF($C$10:$C$19,"&gt;=20")+COUNTIF($C$21:$C$30,"&gt;=20")+COUNTIF($C$32:$C$40,"&gt;=20")</f>
        <v>0</v>
      </c>
      <c r="V14" s="81"/>
    </row>
    <row r="15" spans="1:54" x14ac:dyDescent="0.4">
      <c r="A15" s="31">
        <v>6</v>
      </c>
      <c r="B15" s="30">
        <v>8.3000000000000007</v>
      </c>
      <c r="C15" s="23">
        <v>2.2000000000000002</v>
      </c>
      <c r="D15" s="23">
        <f t="shared" si="0"/>
        <v>6.1000000000000005</v>
      </c>
      <c r="E15" s="29">
        <v>6.8</v>
      </c>
      <c r="F15" s="28">
        <v>19</v>
      </c>
      <c r="G15" s="23">
        <v>0</v>
      </c>
      <c r="H15" s="23">
        <f t="shared" si="1"/>
        <v>20.6</v>
      </c>
      <c r="I15" s="27">
        <v>0</v>
      </c>
      <c r="J15" s="23">
        <v>0</v>
      </c>
      <c r="K15" s="23">
        <v>0</v>
      </c>
      <c r="L15" s="32"/>
      <c r="M15" s="32"/>
      <c r="N15" s="57"/>
      <c r="O15" s="56"/>
      <c r="P15" s="36"/>
      <c r="Q15" s="32"/>
      <c r="R15" s="32"/>
      <c r="S15" s="32"/>
      <c r="T15" s="32"/>
      <c r="U15" s="32"/>
      <c r="V15" s="60"/>
    </row>
    <row r="16" spans="1:54" x14ac:dyDescent="0.4">
      <c r="A16" s="31">
        <v>7</v>
      </c>
      <c r="B16" s="30">
        <v>6.1</v>
      </c>
      <c r="C16" s="23">
        <v>-1.1000000000000001</v>
      </c>
      <c r="D16" s="23">
        <f t="shared" si="0"/>
        <v>7.1999999999999993</v>
      </c>
      <c r="E16" s="29">
        <v>4.5999999999999996</v>
      </c>
      <c r="F16" s="28">
        <v>31</v>
      </c>
      <c r="G16" s="23">
        <v>8.1999999999999993</v>
      </c>
      <c r="H16" s="23">
        <f t="shared" si="1"/>
        <v>28.8</v>
      </c>
      <c r="I16" s="27">
        <v>0</v>
      </c>
      <c r="J16" s="23">
        <v>1</v>
      </c>
      <c r="K16" s="23">
        <v>1</v>
      </c>
      <c r="L16" s="32" t="s">
        <v>162</v>
      </c>
      <c r="M16" s="89" t="s">
        <v>105</v>
      </c>
      <c r="N16" s="57">
        <f>AVERAGE(I10:I19,I21:I30,I32:I40)</f>
        <v>3.1635714285714287</v>
      </c>
      <c r="O16" s="62">
        <f>MAX(I10:I19,I21:I30,I32:I40)</f>
        <v>7.98</v>
      </c>
      <c r="P16" s="61">
        <f>MIN(I10:I19,I21:I30,I32:I40)</f>
        <v>0</v>
      </c>
      <c r="Q16" s="94">
        <v>86.5</v>
      </c>
      <c r="R16" s="34">
        <v>-7.5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4.2</v>
      </c>
      <c r="C17" s="23">
        <v>-1.2</v>
      </c>
      <c r="D17" s="23">
        <f t="shared" si="0"/>
        <v>5.4</v>
      </c>
      <c r="E17" s="29">
        <v>0.9</v>
      </c>
      <c r="F17" s="28">
        <v>48</v>
      </c>
      <c r="G17" s="23">
        <v>0</v>
      </c>
      <c r="H17" s="23">
        <f t="shared" si="1"/>
        <v>28.8</v>
      </c>
      <c r="I17" s="27">
        <v>4.62</v>
      </c>
      <c r="J17" s="23">
        <v>1</v>
      </c>
      <c r="K17" s="23">
        <v>1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COUNTIF(G10:G19,"&gt;=1")+COUNTIF(G21:G30,"&gt;=1")+COUNTIF(G32:G40,"&gt;=1")</f>
        <v>8</v>
      </c>
      <c r="V17" s="34">
        <v>-1.1000000000000001</v>
      </c>
    </row>
    <row r="18" spans="1:22" x14ac:dyDescent="0.4">
      <c r="A18" s="31">
        <v>9</v>
      </c>
      <c r="B18" s="30">
        <v>1.1000000000000001</v>
      </c>
      <c r="C18" s="23">
        <v>-1.9</v>
      </c>
      <c r="D18" s="23">
        <f t="shared" si="0"/>
        <v>3</v>
      </c>
      <c r="E18" s="29">
        <v>-0.7</v>
      </c>
      <c r="F18" s="28">
        <v>11</v>
      </c>
      <c r="G18" s="23">
        <v>3.2</v>
      </c>
      <c r="H18" s="23">
        <f t="shared" si="1"/>
        <v>32</v>
      </c>
      <c r="I18" s="27">
        <v>1.75</v>
      </c>
      <c r="J18" s="23">
        <v>4</v>
      </c>
      <c r="K18" s="23">
        <v>4</v>
      </c>
      <c r="L18" s="32" t="s">
        <v>159</v>
      </c>
      <c r="M18" s="89" t="s">
        <v>108</v>
      </c>
      <c r="N18" s="57">
        <f>AVERAGE(J10:J19,J21:J30,J32:J40)</f>
        <v>0.42857142857142855</v>
      </c>
      <c r="O18" s="56">
        <f>MAX(J10:J19,J21:J30,J32:J40)</f>
        <v>4</v>
      </c>
      <c r="P18" s="36">
        <f>MIN(J10:J19,J21:J30,J32:J40)</f>
        <v>0</v>
      </c>
      <c r="Q18" s="58">
        <f>SUM(J10:J19,J21:J30,J32:J40)</f>
        <v>12</v>
      </c>
      <c r="R18" s="32"/>
      <c r="S18" s="32"/>
      <c r="T18" s="85" t="s">
        <v>224</v>
      </c>
      <c r="U18" s="85">
        <f>COUNTIF(G10:G19,"&gt;=10")+COUNTIF(G21:G30,"&gt;=10")+COUNTIF(G32:G40,"&gt;=10")</f>
        <v>1</v>
      </c>
      <c r="V18" s="32"/>
    </row>
    <row r="19" spans="1:22" x14ac:dyDescent="0.4">
      <c r="A19" s="31">
        <v>10</v>
      </c>
      <c r="B19" s="30">
        <v>2.8</v>
      </c>
      <c r="C19" s="23">
        <v>-4.7</v>
      </c>
      <c r="D19" s="23">
        <f t="shared" si="0"/>
        <v>7.5</v>
      </c>
      <c r="E19" s="29">
        <v>-0.4</v>
      </c>
      <c r="F19" s="28">
        <v>32</v>
      </c>
      <c r="G19" s="23">
        <v>5.8</v>
      </c>
      <c r="H19" s="23">
        <f t="shared" si="1"/>
        <v>37.799999999999997</v>
      </c>
      <c r="I19" s="27">
        <v>0.22</v>
      </c>
      <c r="J19" s="23">
        <v>2</v>
      </c>
      <c r="K19" s="23">
        <v>5</v>
      </c>
      <c r="L19" s="32" t="s">
        <v>157</v>
      </c>
      <c r="M19" s="89" t="s">
        <v>108</v>
      </c>
      <c r="N19" s="57">
        <f>AVERAGE(K10:K19,K21:K30,K32:K40)</f>
        <v>1.3928571428571428</v>
      </c>
      <c r="O19" s="56">
        <f>MAX(K10:K19,K21:K30,K32:K40)</f>
        <v>7</v>
      </c>
      <c r="P19" s="36">
        <f>MIN(K10:K19,K21:K30,K32:K40)</f>
        <v>0</v>
      </c>
      <c r="S19" s="32"/>
      <c r="T19" s="86" t="s">
        <v>225</v>
      </c>
      <c r="U19" s="86">
        <f>COUNTIF(G10:G19,"&gt;=20")+COUNTIF(G21:G30,"&gt;=20")+COUNTIF(G32:G40,"&gt;=20")</f>
        <v>0</v>
      </c>
      <c r="V19" s="32"/>
    </row>
    <row r="20" spans="1:22" x14ac:dyDescent="0.4">
      <c r="A20" s="54" t="s">
        <v>155</v>
      </c>
      <c r="B20" s="53">
        <f t="shared" ref="B20:G20" si="2">AVERAGE(B10:B19)</f>
        <v>6.0200000000000005</v>
      </c>
      <c r="C20" s="49">
        <f t="shared" si="2"/>
        <v>0.71999999999999986</v>
      </c>
      <c r="D20" s="49">
        <f t="shared" si="2"/>
        <v>5.3</v>
      </c>
      <c r="E20" s="52">
        <f t="shared" si="2"/>
        <v>3.9799999999999995</v>
      </c>
      <c r="F20" s="51">
        <f t="shared" si="2"/>
        <v>30.5</v>
      </c>
      <c r="G20" s="49">
        <f t="shared" si="2"/>
        <v>3.78</v>
      </c>
      <c r="H20" s="49">
        <f>MAX(H10:H19)</f>
        <v>37.799999999999997</v>
      </c>
      <c r="I20" s="50">
        <f>AVERAGE(I10:I19)</f>
        <v>0.65900000000000003</v>
      </c>
      <c r="J20" s="49">
        <f>SUM(J10:J19)</f>
        <v>8</v>
      </c>
      <c r="K20" s="49">
        <f>AVERAGE(K10:K19)</f>
        <v>1.1000000000000001</v>
      </c>
      <c r="S20" s="32"/>
      <c r="T20" s="87" t="s">
        <v>226</v>
      </c>
      <c r="U20" s="87">
        <f>COUNTIF(G10:G19,"&gt;=50")+COUNTIF(G21:G30,"&gt;=50")+COUNTIF(G32:G40,"&gt;=50")</f>
        <v>0</v>
      </c>
      <c r="V20" s="32"/>
    </row>
    <row r="21" spans="1:22" x14ac:dyDescent="0.4">
      <c r="A21" s="31">
        <v>11</v>
      </c>
      <c r="B21" s="30">
        <v>-4.7</v>
      </c>
      <c r="C21" s="23">
        <v>-9.3000000000000007</v>
      </c>
      <c r="D21" s="23">
        <f t="shared" ref="D21:D28" si="3">SUM(B21-C21)</f>
        <v>4.6000000000000005</v>
      </c>
      <c r="E21" s="29">
        <v>-6.4</v>
      </c>
      <c r="F21" s="28">
        <v>29</v>
      </c>
      <c r="G21" s="23">
        <v>1.6</v>
      </c>
      <c r="H21" s="23">
        <f>H19+G21</f>
        <v>39.4</v>
      </c>
      <c r="I21" s="27">
        <v>0.12</v>
      </c>
      <c r="J21" s="23">
        <v>2</v>
      </c>
      <c r="K21" s="23">
        <v>7</v>
      </c>
      <c r="S21" s="32"/>
      <c r="V21" s="32"/>
    </row>
    <row r="22" spans="1:22" x14ac:dyDescent="0.4">
      <c r="A22" s="31">
        <v>12</v>
      </c>
      <c r="B22" s="30">
        <v>-5.9</v>
      </c>
      <c r="C22" s="23">
        <v>-9.8000000000000007</v>
      </c>
      <c r="D22" s="23">
        <f t="shared" si="3"/>
        <v>3.9000000000000004</v>
      </c>
      <c r="E22" s="29">
        <v>-8.3000000000000007</v>
      </c>
      <c r="F22" s="28">
        <v>26</v>
      </c>
      <c r="G22" s="23">
        <v>0</v>
      </c>
      <c r="H22" s="23">
        <f t="shared" ref="H22:H30" si="4">H21+G22</f>
        <v>39.4</v>
      </c>
      <c r="I22" s="27">
        <v>2.27</v>
      </c>
      <c r="J22" s="23">
        <v>2</v>
      </c>
      <c r="K22" s="23">
        <v>6</v>
      </c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-8</v>
      </c>
      <c r="C23" s="23">
        <v>-10.199999999999999</v>
      </c>
      <c r="D23" s="23">
        <f t="shared" si="3"/>
        <v>2.1999999999999993</v>
      </c>
      <c r="E23" s="29">
        <v>-9.1999999999999993</v>
      </c>
      <c r="F23" s="28">
        <v>29</v>
      </c>
      <c r="G23" s="23">
        <v>0</v>
      </c>
      <c r="H23" s="23">
        <f t="shared" si="4"/>
        <v>39.4</v>
      </c>
      <c r="I23" s="27">
        <v>2.33</v>
      </c>
      <c r="J23" s="23">
        <v>0</v>
      </c>
      <c r="K23" s="23">
        <v>4</v>
      </c>
      <c r="S23" s="32"/>
      <c r="T23" s="59" t="s">
        <v>160</v>
      </c>
      <c r="U23" s="59">
        <f>COUNTIF($F$10:$F$19,"&gt;=61.8")+COUNTIF($F$21:$F$30,"&gt;=61.8")+COUNTIF($F$32:$F$40,"&gt;=61.8")</f>
        <v>0</v>
      </c>
      <c r="V23" s="32"/>
    </row>
    <row r="24" spans="1:22" x14ac:dyDescent="0.4">
      <c r="A24" s="31">
        <v>14</v>
      </c>
      <c r="B24" s="30">
        <v>-3.1</v>
      </c>
      <c r="C24" s="23">
        <v>-10.9</v>
      </c>
      <c r="D24" s="23">
        <f t="shared" si="3"/>
        <v>7.8000000000000007</v>
      </c>
      <c r="E24" s="29">
        <v>-7.4</v>
      </c>
      <c r="F24" s="28">
        <v>16</v>
      </c>
      <c r="G24" s="23">
        <v>0</v>
      </c>
      <c r="H24" s="23">
        <f t="shared" si="4"/>
        <v>39.4</v>
      </c>
      <c r="I24" s="27">
        <v>6</v>
      </c>
      <c r="J24" s="23">
        <v>0</v>
      </c>
      <c r="K24" s="23">
        <v>4</v>
      </c>
      <c r="S24" s="32"/>
      <c r="T24" s="56" t="s">
        <v>158</v>
      </c>
      <c r="U24" s="56">
        <f>COUNTIF($F$10:$F$19,"&gt;=49.9")+COUNTIF($F$21:$F$30,"&gt;=49.9")+COUNTIF($F$32:$F$40,"&gt;=49.9")-COUNTIF($F$10:$F$19,"&gt;61.7")-COUNTIF($F$21:$F$30,"&gt;61.7")-COUNTIF($F$32:$F$40,"&gt;61.7")</f>
        <v>1</v>
      </c>
      <c r="V24" s="32"/>
    </row>
    <row r="25" spans="1:22" x14ac:dyDescent="0.4">
      <c r="A25" s="31">
        <v>15</v>
      </c>
      <c r="B25" s="30">
        <v>1.7</v>
      </c>
      <c r="C25" s="23">
        <v>-7</v>
      </c>
      <c r="D25" s="23">
        <f t="shared" si="3"/>
        <v>8.6999999999999993</v>
      </c>
      <c r="E25" s="29">
        <v>-2</v>
      </c>
      <c r="F25" s="28">
        <v>21</v>
      </c>
      <c r="G25" s="23">
        <v>0</v>
      </c>
      <c r="H25" s="23">
        <f t="shared" si="4"/>
        <v>39.4</v>
      </c>
      <c r="I25" s="27">
        <v>3.58</v>
      </c>
      <c r="J25" s="23">
        <v>0</v>
      </c>
      <c r="K25" s="23">
        <v>4</v>
      </c>
      <c r="S25" s="32"/>
      <c r="T25" s="55" t="s">
        <v>156</v>
      </c>
      <c r="U25" s="55">
        <f>COUNTIF($F$10:$F$19,"&gt;=38.8")+COUNTIF($F$21:$F$30,"&gt;=38.8")+COUNTIF($F$32:$F$40,"&gt;=38.8")-COUNTIF($F$10:$F$19,"&gt;49.8")-COUNTIF($F$21:$F$30,"&gt;49.8")-COUNTIF($F$32:$F$40,"&gt;49.8")</f>
        <v>1</v>
      </c>
      <c r="V25" s="32"/>
    </row>
    <row r="26" spans="1:22" x14ac:dyDescent="0.4">
      <c r="A26" s="31">
        <v>16</v>
      </c>
      <c r="B26" s="30">
        <v>7.4</v>
      </c>
      <c r="C26" s="23">
        <v>0</v>
      </c>
      <c r="D26" s="23">
        <f t="shared" si="3"/>
        <v>7.4</v>
      </c>
      <c r="E26" s="29">
        <v>3.6</v>
      </c>
      <c r="F26" s="28">
        <v>37</v>
      </c>
      <c r="G26" s="23">
        <v>0.2</v>
      </c>
      <c r="H26" s="23">
        <f t="shared" si="4"/>
        <v>39.6</v>
      </c>
      <c r="I26" s="27">
        <v>5.38</v>
      </c>
      <c r="J26" s="23">
        <v>0</v>
      </c>
      <c r="K26" s="23">
        <v>3</v>
      </c>
      <c r="S26" s="32"/>
      <c r="T26" s="48" t="s">
        <v>154</v>
      </c>
      <c r="U26" s="48">
        <f>COUNTIF($F$10:$F$19,"&gt;=28.6")+COUNTIF($F$21:$F$30,"&gt;=28.6")+COUNTIF($F$32:$F$40,"&gt;=28.6")-COUNTIF($F$10:$F$19,"&gt;38.7")-COUNTIF($F$21:$F$30,"&gt;38.7")-COUNTIF($F$32:$F$40,"&gt;38.7")</f>
        <v>8</v>
      </c>
      <c r="V26" s="32"/>
    </row>
    <row r="27" spans="1:22" x14ac:dyDescent="0.4">
      <c r="A27" s="31">
        <v>17</v>
      </c>
      <c r="B27" s="30">
        <v>8.1999999999999993</v>
      </c>
      <c r="C27" s="23">
        <v>2.6</v>
      </c>
      <c r="D27" s="23">
        <f t="shared" si="3"/>
        <v>5.6</v>
      </c>
      <c r="E27" s="29">
        <v>5.6</v>
      </c>
      <c r="F27" s="28">
        <v>26</v>
      </c>
      <c r="G27" s="23">
        <v>2.4</v>
      </c>
      <c r="H27" s="23">
        <f t="shared" si="4"/>
        <v>42</v>
      </c>
      <c r="I27" s="27">
        <v>4.63</v>
      </c>
      <c r="J27" s="23">
        <v>0</v>
      </c>
      <c r="K27" s="23">
        <v>0</v>
      </c>
      <c r="S27" s="32"/>
      <c r="T27" s="47" t="s">
        <v>153</v>
      </c>
      <c r="U27" s="47">
        <f>COUNTIF($F$10:$F$19,"&gt;=19.5")+COUNTIF($F$21:$F$30,"&gt;=19.5")+COUNTIF($F$32:$F$40,"&gt;=19.5")-COUNTIF($F$10:$F$19,"&gt;28.5")-COUNTIF($F$21:$F$30,"&gt;28.5")-COUNTIF($F$32:$F$40,"&gt;28.5")</f>
        <v>5</v>
      </c>
      <c r="V27" s="32"/>
    </row>
    <row r="28" spans="1:22" x14ac:dyDescent="0.4">
      <c r="A28" s="31">
        <v>18</v>
      </c>
      <c r="B28" s="30">
        <v>8.5</v>
      </c>
      <c r="C28" s="23">
        <v>1.1000000000000001</v>
      </c>
      <c r="D28" s="23">
        <f t="shared" si="3"/>
        <v>7.4</v>
      </c>
      <c r="E28" s="29">
        <v>4</v>
      </c>
      <c r="F28" s="28">
        <v>10</v>
      </c>
      <c r="G28" s="23">
        <v>0</v>
      </c>
      <c r="H28" s="23">
        <f t="shared" si="4"/>
        <v>42</v>
      </c>
      <c r="I28" s="27">
        <v>2.08</v>
      </c>
      <c r="J28" s="23">
        <v>0</v>
      </c>
      <c r="K28" s="23">
        <v>0</v>
      </c>
      <c r="L28" s="32" t="s">
        <v>236</v>
      </c>
      <c r="S28" s="32"/>
      <c r="T28" s="46" t="s">
        <v>152</v>
      </c>
      <c r="U28" s="46">
        <f>COUNTIF($F$10:$F$19,"&gt;=12")+COUNTIF($F$21:$F$30,"&gt;=12")+COUNTIF($F$32:$F$40,"&gt;=12")-COUNTIF($F$10:$F$19,"&gt;19.4")-COUNTIF($F$21:$F$30,"&gt;19.4")-COUNTIF($F$32:$F$40,"&gt;19.4")</f>
        <v>9</v>
      </c>
      <c r="V28" s="32"/>
    </row>
    <row r="29" spans="1:22" x14ac:dyDescent="0.4">
      <c r="A29" s="31">
        <v>19</v>
      </c>
      <c r="B29" s="30">
        <v>12</v>
      </c>
      <c r="C29" s="23">
        <v>4.5</v>
      </c>
      <c r="D29" s="23">
        <f t="shared" ref="D29:D30" si="5">SUM(B29-C29)</f>
        <v>7.5</v>
      </c>
      <c r="E29" s="29">
        <v>7.1</v>
      </c>
      <c r="F29" s="28">
        <v>11</v>
      </c>
      <c r="G29" s="23">
        <v>0</v>
      </c>
      <c r="H29" s="23">
        <f t="shared" si="4"/>
        <v>42</v>
      </c>
      <c r="I29" s="27">
        <v>1.05</v>
      </c>
      <c r="J29" s="23">
        <v>0</v>
      </c>
      <c r="K29" s="23">
        <v>0</v>
      </c>
      <c r="S29" s="32"/>
      <c r="T29" s="32" t="s">
        <v>151</v>
      </c>
      <c r="U29" s="32">
        <f>COUNTIF($F$10:$F$19,"&lt;=11.9")+COUNTIF($F$21:$F$30,"&lt;=11.9")+COUNTIF($F$32:$F$40,"&lt;=11.9")</f>
        <v>4</v>
      </c>
      <c r="V29" s="32"/>
    </row>
    <row r="30" spans="1:22" x14ac:dyDescent="0.4">
      <c r="A30" s="31">
        <v>20</v>
      </c>
      <c r="B30" s="30">
        <v>12.4</v>
      </c>
      <c r="C30" s="23">
        <v>3</v>
      </c>
      <c r="D30" s="23">
        <f t="shared" si="5"/>
        <v>9.4</v>
      </c>
      <c r="E30" s="29">
        <v>6.8</v>
      </c>
      <c r="F30" s="28">
        <v>16</v>
      </c>
      <c r="G30" s="23">
        <v>0</v>
      </c>
      <c r="H30" s="23">
        <f t="shared" si="4"/>
        <v>42</v>
      </c>
      <c r="I30" s="27">
        <v>7.7</v>
      </c>
      <c r="J30" s="23">
        <v>0</v>
      </c>
      <c r="K30" s="23">
        <v>0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6">AVERAGE(B21:B30)</f>
        <v>2.8499999999999992</v>
      </c>
      <c r="C31" s="17">
        <f t="shared" si="6"/>
        <v>-3.6</v>
      </c>
      <c r="D31" s="17">
        <f t="shared" si="6"/>
        <v>6.45</v>
      </c>
      <c r="E31" s="39">
        <f t="shared" si="6"/>
        <v>-0.61999999999999944</v>
      </c>
      <c r="F31" s="18">
        <f t="shared" si="6"/>
        <v>22.1</v>
      </c>
      <c r="G31" s="17">
        <f t="shared" si="6"/>
        <v>0.42000000000000004</v>
      </c>
      <c r="H31" s="17">
        <f>SUM(H30-H19)</f>
        <v>4.2000000000000028</v>
      </c>
      <c r="I31" s="16">
        <f>AVERAGE(I21:I30)</f>
        <v>3.5140000000000002</v>
      </c>
      <c r="J31" s="17">
        <f>SUM(J21:J30)</f>
        <v>4</v>
      </c>
      <c r="K31" s="17">
        <f>AVERAGE(K21:K30)</f>
        <v>2.8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12.9</v>
      </c>
      <c r="C32" s="23">
        <v>3.4</v>
      </c>
      <c r="D32" s="23">
        <f t="shared" ref="D32" si="7">SUM(B32-C32)</f>
        <v>9.5</v>
      </c>
      <c r="E32" s="29">
        <v>7.7</v>
      </c>
      <c r="F32" s="28">
        <v>19</v>
      </c>
      <c r="G32" s="23">
        <v>0</v>
      </c>
      <c r="H32" s="23">
        <f>H30+G32</f>
        <v>42</v>
      </c>
      <c r="I32" s="27">
        <v>7.73</v>
      </c>
      <c r="J32" s="23">
        <v>0</v>
      </c>
      <c r="K32" s="23">
        <v>0</v>
      </c>
      <c r="S32" s="32"/>
      <c r="T32" s="44" t="s">
        <v>149</v>
      </c>
      <c r="U32" s="44">
        <f>COUNTIF(K10:K19,"&gt;0")+COUNTIF(K21:K30,"&gt;0")+COUNTIF(K32:K40,"&gt;0")</f>
        <v>10</v>
      </c>
      <c r="V32" s="32"/>
    </row>
    <row r="33" spans="1:22" x14ac:dyDescent="0.4">
      <c r="A33" s="31">
        <v>22</v>
      </c>
      <c r="B33" s="30">
        <v>12.6</v>
      </c>
      <c r="C33" s="23">
        <v>4.5999999999999996</v>
      </c>
      <c r="D33" s="23">
        <f t="shared" ref="D33:D40" si="8">SUM(B33-C33)</f>
        <v>8</v>
      </c>
      <c r="E33" s="29">
        <v>8.5</v>
      </c>
      <c r="F33" s="28">
        <v>16</v>
      </c>
      <c r="G33" s="23">
        <v>0</v>
      </c>
      <c r="H33" s="23">
        <f t="shared" ref="H33:H40" si="9">H32+G33</f>
        <v>42</v>
      </c>
      <c r="I33" s="27">
        <v>5.42</v>
      </c>
      <c r="J33" s="23">
        <v>0</v>
      </c>
      <c r="K33" s="23">
        <v>0</v>
      </c>
      <c r="S33" s="32"/>
      <c r="T33" s="43" t="s">
        <v>148</v>
      </c>
      <c r="U33" s="43">
        <f>COUNTIF(K10:K19,"&gt;=1")+COUNTIF(K21:K30,"&gt;=1")+COUNTIF(K32:K40,"&gt;=1")</f>
        <v>10</v>
      </c>
      <c r="V33" s="32"/>
    </row>
    <row r="34" spans="1:22" x14ac:dyDescent="0.4">
      <c r="A34" s="31">
        <v>23</v>
      </c>
      <c r="B34" s="30">
        <v>13.6</v>
      </c>
      <c r="C34" s="23">
        <v>5</v>
      </c>
      <c r="D34" s="23">
        <f t="shared" si="8"/>
        <v>8.6</v>
      </c>
      <c r="E34" s="29">
        <v>9.3000000000000007</v>
      </c>
      <c r="F34" s="28">
        <v>14</v>
      </c>
      <c r="G34" s="23">
        <v>0</v>
      </c>
      <c r="H34" s="23">
        <f t="shared" si="9"/>
        <v>42</v>
      </c>
      <c r="I34" s="27">
        <v>7.32</v>
      </c>
      <c r="J34" s="23">
        <v>0</v>
      </c>
      <c r="K34" s="23">
        <v>0</v>
      </c>
      <c r="S34" s="32"/>
      <c r="T34" s="42" t="s">
        <v>147</v>
      </c>
      <c r="U34" s="42">
        <f>COUNTIF(K10:K19,"&gt;=5")+COUNTIF(K21:K30,"&gt;=5")+COUNTIF(K32:K40,"&gt;=5")</f>
        <v>3</v>
      </c>
      <c r="V34" s="32"/>
    </row>
    <row r="35" spans="1:22" x14ac:dyDescent="0.4">
      <c r="A35" s="31">
        <v>24</v>
      </c>
      <c r="B35" s="30">
        <v>15.7</v>
      </c>
      <c r="C35" s="23">
        <v>4.8</v>
      </c>
      <c r="D35" s="23">
        <f t="shared" si="8"/>
        <v>10.899999999999999</v>
      </c>
      <c r="E35" s="29">
        <v>9.6999999999999993</v>
      </c>
      <c r="F35" s="28">
        <v>10</v>
      </c>
      <c r="G35" s="23">
        <v>0</v>
      </c>
      <c r="H35" s="23">
        <f t="shared" si="9"/>
        <v>42</v>
      </c>
      <c r="I35" s="27">
        <v>7.68</v>
      </c>
      <c r="J35" s="23">
        <v>0</v>
      </c>
      <c r="K35" s="23">
        <v>0</v>
      </c>
      <c r="S35" s="32"/>
      <c r="T35" s="41" t="s">
        <v>146</v>
      </c>
      <c r="U35" s="41">
        <f>COUNTIF(K10:K19,"&gt;=10")+COUNTIF(K21:K30,"&gt;=10")+COUNTIF(K32:K40,"&gt;=10")</f>
        <v>0</v>
      </c>
      <c r="V35" s="32"/>
    </row>
    <row r="36" spans="1:22" x14ac:dyDescent="0.4">
      <c r="A36" s="31">
        <v>25</v>
      </c>
      <c r="B36" s="30">
        <v>15.7</v>
      </c>
      <c r="C36" s="23">
        <v>4.7</v>
      </c>
      <c r="D36" s="23">
        <f t="shared" si="8"/>
        <v>11</v>
      </c>
      <c r="E36" s="29">
        <v>9.6999999999999993</v>
      </c>
      <c r="F36" s="28">
        <v>16</v>
      </c>
      <c r="G36" s="23">
        <v>0</v>
      </c>
      <c r="H36" s="23">
        <f t="shared" si="9"/>
        <v>42</v>
      </c>
      <c r="I36" s="27">
        <v>7.98</v>
      </c>
      <c r="J36" s="23">
        <v>0</v>
      </c>
      <c r="K36" s="23">
        <v>0</v>
      </c>
      <c r="S36" s="32"/>
      <c r="T36" s="40" t="s">
        <v>145</v>
      </c>
      <c r="U36" s="40">
        <f>COUNTIF(K10:K19,"&gt;=15")+COUNTIF(K21:K30,"&gt;=15")+COUNTIF(K32:K40,"&gt;=15")</f>
        <v>0</v>
      </c>
      <c r="V36" s="32"/>
    </row>
    <row r="37" spans="1:22" x14ac:dyDescent="0.4">
      <c r="A37" s="31">
        <v>26</v>
      </c>
      <c r="B37" s="30">
        <v>13.2</v>
      </c>
      <c r="C37" s="23">
        <v>5.0999999999999996</v>
      </c>
      <c r="D37" s="23">
        <f t="shared" si="8"/>
        <v>8.1</v>
      </c>
      <c r="E37" s="29">
        <v>8.6999999999999993</v>
      </c>
      <c r="F37" s="28">
        <v>27</v>
      </c>
      <c r="G37" s="23">
        <v>0</v>
      </c>
      <c r="H37" s="23">
        <f t="shared" si="9"/>
        <v>42</v>
      </c>
      <c r="I37" s="27">
        <v>4.8499999999999996</v>
      </c>
      <c r="J37" s="23">
        <v>0</v>
      </c>
      <c r="K37" s="23">
        <v>0</v>
      </c>
      <c r="S37" s="32"/>
      <c r="T37" s="38" t="s">
        <v>143</v>
      </c>
      <c r="U37" s="38">
        <f>COUNTIF(K10:K19,"&gt;=20")+COUNTIF(K21:K30,"&gt;=20")+COUNTIF(K32:K40,"&gt;=20")</f>
        <v>0</v>
      </c>
      <c r="V37" s="32"/>
    </row>
    <row r="38" spans="1:22" x14ac:dyDescent="0.4">
      <c r="A38" s="31">
        <v>27</v>
      </c>
      <c r="B38" s="30">
        <v>6</v>
      </c>
      <c r="C38" s="23">
        <v>1.2</v>
      </c>
      <c r="D38" s="23">
        <f t="shared" si="8"/>
        <v>4.8</v>
      </c>
      <c r="E38" s="29">
        <v>2.6</v>
      </c>
      <c r="F38" s="28">
        <v>35</v>
      </c>
      <c r="G38" s="23">
        <v>0</v>
      </c>
      <c r="H38" s="23">
        <f t="shared" si="9"/>
        <v>42</v>
      </c>
      <c r="I38" s="27">
        <v>0</v>
      </c>
      <c r="J38" s="23">
        <v>0</v>
      </c>
      <c r="K38" s="23">
        <v>0</v>
      </c>
      <c r="T38" s="37" t="s">
        <v>142</v>
      </c>
      <c r="U38" s="37">
        <f>COUNTIF(K10:K19,"&gt;=30")+COUNTIF(K21:K30,"&gt;=30")+COUNTIF(K32:K40,"&gt;=30")</f>
        <v>0</v>
      </c>
    </row>
    <row r="39" spans="1:22" x14ac:dyDescent="0.4">
      <c r="A39" s="31">
        <v>28</v>
      </c>
      <c r="B39" s="30">
        <v>6.4</v>
      </c>
      <c r="C39" s="23">
        <v>-0.5</v>
      </c>
      <c r="D39" s="23">
        <f t="shared" si="8"/>
        <v>6.9</v>
      </c>
      <c r="E39" s="29">
        <v>1.8</v>
      </c>
      <c r="F39" s="28">
        <v>19</v>
      </c>
      <c r="G39" s="23">
        <v>0</v>
      </c>
      <c r="H39" s="23">
        <f t="shared" si="9"/>
        <v>42</v>
      </c>
      <c r="I39" s="27">
        <v>5.87</v>
      </c>
      <c r="J39" s="23">
        <v>0</v>
      </c>
      <c r="K39" s="23">
        <v>0</v>
      </c>
      <c r="T39" s="36" t="s">
        <v>141</v>
      </c>
      <c r="U39" s="36">
        <f>COUNTIF(K10:K19,"&gt;=40")+COUNTIF(K21:K30,"&gt;=40")+COUNTIF(K32:K40,"&gt;=40")</f>
        <v>0</v>
      </c>
    </row>
    <row r="40" spans="1:22" x14ac:dyDescent="0.4">
      <c r="A40" s="31">
        <v>29</v>
      </c>
      <c r="B40" s="30"/>
      <c r="C40" s="23"/>
      <c r="D40" s="23">
        <f t="shared" si="8"/>
        <v>0</v>
      </c>
      <c r="E40" s="29"/>
      <c r="F40" s="28"/>
      <c r="G40" s="23"/>
      <c r="H40" s="23">
        <f t="shared" si="9"/>
        <v>42</v>
      </c>
      <c r="I40" s="27"/>
      <c r="J40" s="23"/>
      <c r="K40" s="23"/>
      <c r="T40" s="35" t="s">
        <v>140</v>
      </c>
      <c r="U40" s="35">
        <f>COUNTIF(K10:K19,"&gt;=50")+COUNTIF(K21:K30,"&gt;=50")+COUNTIF(K32:K40,"&gt;=50")</f>
        <v>0</v>
      </c>
    </row>
    <row r="41" spans="1:22" x14ac:dyDescent="0.4">
      <c r="A41" s="20" t="s">
        <v>137</v>
      </c>
      <c r="B41" s="19">
        <f t="shared" ref="B41:G41" si="10">AVERAGE(B32:B40)</f>
        <v>12.012500000000001</v>
      </c>
      <c r="C41" s="17">
        <f t="shared" si="10"/>
        <v>3.5375000000000001</v>
      </c>
      <c r="D41" s="17">
        <f t="shared" si="10"/>
        <v>7.5333333333333332</v>
      </c>
      <c r="E41" s="39">
        <f t="shared" si="10"/>
        <v>7.2500000000000009</v>
      </c>
      <c r="F41" s="18">
        <f t="shared" si="10"/>
        <v>19.5</v>
      </c>
      <c r="G41" s="17">
        <f t="shared" si="10"/>
        <v>0</v>
      </c>
      <c r="H41" s="17">
        <f>SUM(H40-H30)</f>
        <v>0</v>
      </c>
      <c r="I41" s="16">
        <f>AVERAGE(I32:I40)</f>
        <v>5.8562499999999993</v>
      </c>
      <c r="J41" s="17">
        <f>SUM(J32:J40)</f>
        <v>0</v>
      </c>
      <c r="K41" s="17">
        <f>AVERAGE(K32:K40)</f>
        <v>0</v>
      </c>
      <c r="T41" s="34" t="s">
        <v>139</v>
      </c>
      <c r="U41" s="34">
        <f>COUNTIF(K10:K19,"&gt;=75")+COUNTIF(K21:K30,"&gt;=75")+COUNTIF(K32:K40,"&gt;=75")</f>
        <v>0</v>
      </c>
    </row>
    <row r="42" spans="1:22" x14ac:dyDescent="0.4">
      <c r="A42" s="14" t="s">
        <v>136</v>
      </c>
      <c r="B42" s="13">
        <f t="shared" ref="B42:G42" si="11">AVERAGE(B10:B19,B21:B30,B32:B40)</f>
        <v>6.6</v>
      </c>
      <c r="C42" s="9">
        <f t="shared" si="11"/>
        <v>-1.7857142857142738E-2</v>
      </c>
      <c r="D42" s="9">
        <f t="shared" si="11"/>
        <v>6.3896551724137938</v>
      </c>
      <c r="E42" s="80">
        <f t="shared" si="11"/>
        <v>3.2714285714285714</v>
      </c>
      <c r="F42" s="12">
        <f t="shared" si="11"/>
        <v>24.357142857142858</v>
      </c>
      <c r="G42" s="9">
        <f t="shared" si="11"/>
        <v>1.5</v>
      </c>
      <c r="H42" s="11">
        <f>MAX(H10:H19,H21:H30,H32:H40)</f>
        <v>42</v>
      </c>
      <c r="I42" s="79">
        <f>AVERAGE(I10:I19,I21:I30,I32:I40)</f>
        <v>3.1635714285714287</v>
      </c>
      <c r="J42" s="9">
        <f>SUM(J10:J19,J21:J30,J32:J40)</f>
        <v>12</v>
      </c>
      <c r="K42" s="9">
        <f>AVERAGE(K10:K19,K21:K30,K32:K40)</f>
        <v>1.3928571428571428</v>
      </c>
      <c r="T42" s="33" t="s">
        <v>138</v>
      </c>
      <c r="U42" s="33">
        <f>COUNTIF(K10:K19,"&gt;=100")+COUNTIF(K21:K30,"&gt;=100")+COUNTIF(K32:K40,"&gt;=100")</f>
        <v>0</v>
      </c>
    </row>
  </sheetData>
  <protectedRanges>
    <protectedRange sqref="A3 V17 R16 R7:R9 V8:V9 V12:V13 W1 AM1 BC1 B10:C19 I10:K19 I21:K30 E10:G19 R14 B32:C40 E32:G40 B21:C30 E21:G30 I32:K40" name="Bereich1"/>
    <protectedRange sqref="H10:H19 H21:H30 H32:H40" name="Bereich1_1"/>
    <protectedRange sqref="L1" name="Bereich1_2"/>
    <protectedRange sqref="Q16" name="Bereich1_3"/>
  </protectedRanges>
  <mergeCells count="10">
    <mergeCell ref="AM1:BB1"/>
    <mergeCell ref="W1:AL1"/>
    <mergeCell ref="L1:V1"/>
    <mergeCell ref="J6:K6"/>
    <mergeCell ref="G6:H6"/>
    <mergeCell ref="B7:B9"/>
    <mergeCell ref="C7:C9"/>
    <mergeCell ref="B6:E6"/>
    <mergeCell ref="A3:K3"/>
    <mergeCell ref="A1:K1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3" manualBreakCount="3">
    <brk id="11" max="41" man="1"/>
    <brk id="22" max="41" man="1"/>
    <brk id="38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2E48-F6FF-456D-94EE-881B146AB90E}">
  <dimension ref="A1:BB44"/>
  <sheetViews>
    <sheetView zoomScaleNormal="100" zoomScaleSheetLayoutView="100" workbookViewId="0">
      <selection activeCell="B10" sqref="B10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15" max="15" width="10.8203125" customWidth="1"/>
    <col min="21" max="21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206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1" t="s">
        <v>200</v>
      </c>
      <c r="K6" s="97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45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70"/>
      <c r="L7" s="32" t="s">
        <v>192</v>
      </c>
      <c r="M7" s="89" t="s">
        <v>100</v>
      </c>
      <c r="N7" s="57">
        <f>AVERAGE(B10:B19,B21:B30,B32:B42)</f>
        <v>7.6741935483870982</v>
      </c>
      <c r="O7" s="56">
        <f>MAX(B10:B19,B21:B30,B32:B42)</f>
        <v>19.8</v>
      </c>
      <c r="P7" s="36">
        <f>MIN(B10:B19,B21:B30,B32:B42)</f>
        <v>-0.1</v>
      </c>
      <c r="Q7" s="32"/>
      <c r="R7" s="34">
        <v>-1.33</v>
      </c>
      <c r="S7" s="63" t="s">
        <v>191</v>
      </c>
      <c r="T7" s="34" t="s">
        <v>190</v>
      </c>
      <c r="U7" s="34">
        <f>COUNTIF($C$10:$C$19,"&lt;=-10")+COUNTIF($C$21:$C$30,"&lt;=-10")+COUNTIF($C$32:$C$42,"&lt;=-10")</f>
        <v>0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AVERAGE(C10:C19,C21:C30,C32:C42)</f>
        <v>-8.0645161290322634E-2</v>
      </c>
      <c r="O8" s="56">
        <f>MAX(C10:C19,C21:C30,C32:C42)</f>
        <v>8.9</v>
      </c>
      <c r="P8" s="36">
        <f>MIN(C10:C19,C21:C30,C32:C42)</f>
        <v>-6.5</v>
      </c>
      <c r="Q8" s="32"/>
      <c r="R8" s="34">
        <v>0.52</v>
      </c>
      <c r="S8" s="63" t="s">
        <v>185</v>
      </c>
      <c r="T8" s="36" t="s">
        <v>184</v>
      </c>
      <c r="U8" s="36">
        <f>COUNTIF($B$10:$B$19,"&lt;=0")+COUNTIF($B$21:$B$30,"&lt;=0")+COUNTIF($B$32:$B$42,"&lt;=0")</f>
        <v>1</v>
      </c>
      <c r="V8" s="34">
        <v>0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AVERAGE(E10:E19,E21:E30,E32:E42)</f>
        <v>3.54516129032258</v>
      </c>
      <c r="O9" s="56">
        <f>MAX(E10:E19,E21:E30,E32:E42)</f>
        <v>13.8</v>
      </c>
      <c r="P9" s="36">
        <f>MIN(E10:E19,E21:E30,E32:E42)</f>
        <v>-3</v>
      </c>
      <c r="Q9" s="32"/>
      <c r="R9" s="34">
        <v>-0.45</v>
      </c>
      <c r="S9" s="63" t="s">
        <v>177</v>
      </c>
      <c r="T9" s="37" t="s">
        <v>176</v>
      </c>
      <c r="U9" s="37">
        <f>COUNTIF($C$10:$C$19,"&lt;0")+COUNTIF($C$21:$C$30,"&lt;0")+COUNTIF($C$32:$C$42,"&lt;0")</f>
        <v>18</v>
      </c>
      <c r="V9" s="34">
        <v>1</v>
      </c>
    </row>
    <row r="10" spans="1:54" x14ac:dyDescent="0.4">
      <c r="A10" s="31">
        <v>1</v>
      </c>
      <c r="B10" s="30">
        <v>10.3</v>
      </c>
      <c r="C10" s="23">
        <v>-1.3</v>
      </c>
      <c r="D10" s="23">
        <f t="shared" ref="D10:D19" si="0">SUM(B10-C10)</f>
        <v>11.600000000000001</v>
      </c>
      <c r="E10" s="29">
        <v>3.7</v>
      </c>
      <c r="F10" s="28">
        <v>16</v>
      </c>
      <c r="G10" s="23">
        <v>0.2</v>
      </c>
      <c r="H10" s="23">
        <f>G10</f>
        <v>0.2</v>
      </c>
      <c r="I10" s="27">
        <v>8.18</v>
      </c>
      <c r="J10" s="23">
        <v>0</v>
      </c>
      <c r="K10" s="23">
        <v>0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COUNTIF($B$10:$B$19,"&lt;10")+COUNTIF($B$21:$B$30,"&lt;10")+COUNTIF($B$32:$B$42,"&lt;10")</f>
        <v>20</v>
      </c>
      <c r="V10" s="32"/>
    </row>
    <row r="11" spans="1:54" x14ac:dyDescent="0.4">
      <c r="A11" s="31">
        <v>2</v>
      </c>
      <c r="B11" s="30">
        <v>14.1</v>
      </c>
      <c r="C11" s="23">
        <v>1.1000000000000001</v>
      </c>
      <c r="D11" s="23">
        <f t="shared" si="0"/>
        <v>13</v>
      </c>
      <c r="E11" s="29">
        <v>6.6</v>
      </c>
      <c r="F11" s="28">
        <v>11</v>
      </c>
      <c r="G11" s="23">
        <v>0</v>
      </c>
      <c r="H11" s="23">
        <f t="shared" ref="H11:H19" si="1">H10+G11</f>
        <v>0.2</v>
      </c>
      <c r="I11" s="27">
        <v>8.02</v>
      </c>
      <c r="J11" s="23">
        <v>0</v>
      </c>
      <c r="K11" s="23">
        <v>0</v>
      </c>
      <c r="L11" s="32" t="s">
        <v>173</v>
      </c>
      <c r="M11" s="89" t="s">
        <v>102</v>
      </c>
      <c r="N11" s="57">
        <f>AVERAGE(F10:F19,F21:F30,F32:F42)</f>
        <v>27.93548387096774</v>
      </c>
      <c r="O11" s="56">
        <f>MAX(F10:F19,F21:F30,F32:F42)</f>
        <v>76</v>
      </c>
      <c r="P11" s="36">
        <f>MIN(F10:F19,F21:F30,F32:F42)</f>
        <v>10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COUNTIF($B$10:$B$19,"&gt;=20")+COUNTIF($B$21:$B$30,"&gt;=20")+COUNTIF($B$32:$B$42,"&gt;=20")</f>
        <v>0</v>
      </c>
      <c r="V11" s="32"/>
    </row>
    <row r="12" spans="1:54" x14ac:dyDescent="0.4">
      <c r="A12" s="31">
        <v>3</v>
      </c>
      <c r="B12" s="30">
        <v>8.9</v>
      </c>
      <c r="C12" s="23">
        <v>4.5999999999999996</v>
      </c>
      <c r="D12" s="23">
        <f t="shared" si="0"/>
        <v>4.3000000000000007</v>
      </c>
      <c r="E12" s="29">
        <v>6.3</v>
      </c>
      <c r="F12" s="28">
        <v>10</v>
      </c>
      <c r="G12" s="23">
        <v>0</v>
      </c>
      <c r="H12" s="23">
        <f t="shared" si="1"/>
        <v>0.2</v>
      </c>
      <c r="I12" s="27">
        <v>0</v>
      </c>
      <c r="J12" s="23">
        <v>0</v>
      </c>
      <c r="K12" s="23">
        <v>0</v>
      </c>
      <c r="L12" s="32"/>
      <c r="M12" s="32"/>
      <c r="N12" s="57"/>
      <c r="O12" s="56"/>
      <c r="P12" s="36"/>
      <c r="Q12" s="32"/>
      <c r="S12" s="63" t="s">
        <v>170</v>
      </c>
      <c r="T12" s="48" t="s">
        <v>169</v>
      </c>
      <c r="U12" s="48">
        <f>COUNTIF($B$10:$B$19,"&gt;=25")+COUNTIF($B$21:$B$30,"&gt;=25")+COUNTIF($B$32:$B$42,"&gt;=25")</f>
        <v>0</v>
      </c>
      <c r="V12" s="34">
        <v>0</v>
      </c>
    </row>
    <row r="13" spans="1:54" x14ac:dyDescent="0.4">
      <c r="A13" s="31">
        <v>4</v>
      </c>
      <c r="B13" s="30">
        <v>10</v>
      </c>
      <c r="C13" s="23">
        <v>3.5</v>
      </c>
      <c r="D13" s="23">
        <f t="shared" si="0"/>
        <v>6.5</v>
      </c>
      <c r="E13" s="29">
        <v>6.2</v>
      </c>
      <c r="F13" s="28">
        <v>29</v>
      </c>
      <c r="G13" s="23">
        <v>2.2000000000000002</v>
      </c>
      <c r="H13" s="23">
        <f t="shared" si="1"/>
        <v>2.4000000000000004</v>
      </c>
      <c r="I13" s="27">
        <v>1.72</v>
      </c>
      <c r="J13" s="23">
        <v>0</v>
      </c>
      <c r="K13" s="23">
        <v>0</v>
      </c>
      <c r="L13" s="32" t="s">
        <v>168</v>
      </c>
      <c r="M13" s="89" t="s">
        <v>104</v>
      </c>
      <c r="N13" s="57">
        <f>AVERAGE(G10:G19,G21:G30,G32:G42)</f>
        <v>2.5741935483870968</v>
      </c>
      <c r="O13" s="56">
        <f>MAX(G10:G19,G21:G30,G32:G42)</f>
        <v>18</v>
      </c>
      <c r="P13" s="36">
        <f>MIN(G10:G19,G21:G30,G32:G42)</f>
        <v>0</v>
      </c>
      <c r="Q13" s="32"/>
      <c r="S13" s="63" t="s">
        <v>167</v>
      </c>
      <c r="T13" s="55" t="s">
        <v>166</v>
      </c>
      <c r="U13" s="55">
        <f>COUNTIF($B$10:$B$19,"&gt;=30")+COUNTIF($B$21:$B$30,"&gt;=30")+COUNTIF($B$32:$B$42,"&gt;=30")</f>
        <v>0</v>
      </c>
      <c r="V13" s="34">
        <v>0</v>
      </c>
    </row>
    <row r="14" spans="1:54" x14ac:dyDescent="0.4">
      <c r="A14" s="31">
        <v>5</v>
      </c>
      <c r="B14" s="30">
        <v>4.0999999999999996</v>
      </c>
      <c r="C14" s="23">
        <v>-0.2</v>
      </c>
      <c r="D14" s="23">
        <f t="shared" si="0"/>
        <v>4.3</v>
      </c>
      <c r="E14" s="29">
        <v>2.5</v>
      </c>
      <c r="F14" s="28">
        <v>27</v>
      </c>
      <c r="G14" s="23">
        <v>3</v>
      </c>
      <c r="H14" s="23">
        <f t="shared" si="1"/>
        <v>5.4</v>
      </c>
      <c r="I14" s="27">
        <v>0.05</v>
      </c>
      <c r="J14" s="23">
        <v>0</v>
      </c>
      <c r="K14" s="23">
        <v>0</v>
      </c>
      <c r="L14" s="32" t="s">
        <v>165</v>
      </c>
      <c r="M14" s="89" t="s">
        <v>104</v>
      </c>
      <c r="N14" s="64"/>
      <c r="O14" s="32"/>
      <c r="P14" s="32"/>
      <c r="Q14" s="40">
        <f>MAX(H10:H19,H21:H30,H32:H42)</f>
        <v>79.8</v>
      </c>
      <c r="R14" s="34">
        <v>3.8</v>
      </c>
      <c r="S14" s="63" t="s">
        <v>164</v>
      </c>
      <c r="T14" s="59" t="s">
        <v>163</v>
      </c>
      <c r="U14" s="59">
        <f>COUNTIF($C$10:$C$19,"&gt;=20")+COUNTIF($C$21:$C$30,"&gt;=20")+COUNTIF($C$32:$C$42,"&gt;=20")</f>
        <v>0</v>
      </c>
      <c r="V14" s="60"/>
    </row>
    <row r="15" spans="1:54" x14ac:dyDescent="0.4">
      <c r="A15" s="31">
        <v>6</v>
      </c>
      <c r="B15" s="30">
        <v>2.7</v>
      </c>
      <c r="C15" s="23">
        <v>-2.2000000000000002</v>
      </c>
      <c r="D15" s="23">
        <f t="shared" si="0"/>
        <v>4.9000000000000004</v>
      </c>
      <c r="E15" s="29">
        <v>0.1</v>
      </c>
      <c r="F15" s="28">
        <v>27</v>
      </c>
      <c r="G15" s="23">
        <v>0</v>
      </c>
      <c r="H15" s="23">
        <f t="shared" si="1"/>
        <v>5.4</v>
      </c>
      <c r="I15" s="27">
        <v>3.87</v>
      </c>
      <c r="J15" s="23">
        <v>0</v>
      </c>
      <c r="K15" s="23">
        <v>0</v>
      </c>
      <c r="L15" s="32"/>
      <c r="M15" s="32"/>
      <c r="N15" s="57"/>
      <c r="O15" s="56"/>
      <c r="P15" s="36"/>
      <c r="S15" s="32"/>
      <c r="T15" s="32"/>
      <c r="U15" s="32"/>
      <c r="V15" s="60"/>
    </row>
    <row r="16" spans="1:54" x14ac:dyDescent="0.4">
      <c r="A16" s="31">
        <v>7</v>
      </c>
      <c r="B16" s="30">
        <v>7.9</v>
      </c>
      <c r="C16" s="23">
        <v>-2.1</v>
      </c>
      <c r="D16" s="23">
        <f t="shared" si="0"/>
        <v>10</v>
      </c>
      <c r="E16" s="29">
        <v>2.6</v>
      </c>
      <c r="F16" s="28">
        <v>19</v>
      </c>
      <c r="G16" s="23">
        <v>0.8</v>
      </c>
      <c r="H16" s="23">
        <f t="shared" si="1"/>
        <v>6.2</v>
      </c>
      <c r="I16" s="27">
        <v>2.95</v>
      </c>
      <c r="J16" s="23">
        <v>0</v>
      </c>
      <c r="K16" s="23">
        <v>0</v>
      </c>
      <c r="L16" s="32" t="s">
        <v>162</v>
      </c>
      <c r="M16" s="89" t="s">
        <v>105</v>
      </c>
      <c r="N16" s="57">
        <f>AVERAGE(I10:I19,I21:I30,I32:I42)</f>
        <v>5.2880645161290323</v>
      </c>
      <c r="O16" s="62">
        <f>MAX(I10:I19,I21:I30,I32:I42)</f>
        <v>9.93</v>
      </c>
      <c r="P16" s="61">
        <f>MIN(I10:I19,I21:I30,I32:I42)</f>
        <v>0</v>
      </c>
      <c r="Q16" s="94">
        <v>153.94</v>
      </c>
      <c r="R16" s="34">
        <v>2.94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6.4</v>
      </c>
      <c r="C17" s="23">
        <v>1.2</v>
      </c>
      <c r="D17" s="23">
        <f t="shared" si="0"/>
        <v>5.2</v>
      </c>
      <c r="E17" s="29">
        <v>3.4</v>
      </c>
      <c r="F17" s="28">
        <v>19</v>
      </c>
      <c r="G17" s="23">
        <v>0.2</v>
      </c>
      <c r="H17" s="23">
        <f t="shared" si="1"/>
        <v>6.4</v>
      </c>
      <c r="I17" s="27">
        <v>3.77</v>
      </c>
      <c r="J17" s="23">
        <v>0</v>
      </c>
      <c r="K17" s="23">
        <v>0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COUNTIF(G10:G19,"&gt;=1")+COUNTIF(G21:G30,"&gt;=1")+COUNTIF(G32:G42,"&gt;=1")</f>
        <v>10</v>
      </c>
      <c r="V17" s="34">
        <v>-0.9</v>
      </c>
    </row>
    <row r="18" spans="1:22" x14ac:dyDescent="0.4">
      <c r="A18" s="31">
        <v>9</v>
      </c>
      <c r="B18" s="30">
        <v>5.0999999999999996</v>
      </c>
      <c r="C18" s="23">
        <v>-1.6</v>
      </c>
      <c r="D18" s="23">
        <f t="shared" si="0"/>
        <v>6.6999999999999993</v>
      </c>
      <c r="E18" s="29">
        <v>1.4</v>
      </c>
      <c r="F18" s="28">
        <v>18</v>
      </c>
      <c r="G18" s="23">
        <v>0</v>
      </c>
      <c r="H18" s="23">
        <f t="shared" si="1"/>
        <v>6.4</v>
      </c>
      <c r="I18" s="27">
        <v>6.47</v>
      </c>
      <c r="J18" s="23">
        <v>0</v>
      </c>
      <c r="K18" s="23">
        <v>0</v>
      </c>
      <c r="L18" s="32" t="s">
        <v>159</v>
      </c>
      <c r="M18" s="89" t="s">
        <v>108</v>
      </c>
      <c r="N18" s="57">
        <f>AVERAGE(J10:J19,J21:J30,J32:J42)</f>
        <v>1.1935483870967742</v>
      </c>
      <c r="O18" s="56">
        <f>MAX(J10:J19,J21:J30,J32:J42)</f>
        <v>12</v>
      </c>
      <c r="P18" s="36">
        <f>MIN(J10:J19,J21:J30,J32:J42)</f>
        <v>0</v>
      </c>
      <c r="Q18" s="58">
        <f>SUM(J10:J19,J21:J30,J32:J42)</f>
        <v>37</v>
      </c>
      <c r="R18" s="32"/>
      <c r="S18" s="32"/>
      <c r="T18" s="85" t="s">
        <v>224</v>
      </c>
      <c r="U18" s="85">
        <f>COUNTIF(G10:G19,"&gt;=10")+COUNTIF(G21:G30,"&gt;=10")+COUNTIF(G32:G42,"&gt;=10")</f>
        <v>3</v>
      </c>
      <c r="V18" s="32"/>
    </row>
    <row r="19" spans="1:22" x14ac:dyDescent="0.4">
      <c r="A19" s="31">
        <v>10</v>
      </c>
      <c r="B19" s="30">
        <v>7.4</v>
      </c>
      <c r="C19" s="23">
        <v>-1.5</v>
      </c>
      <c r="D19" s="23">
        <f t="shared" si="0"/>
        <v>8.9</v>
      </c>
      <c r="E19" s="29">
        <v>2.8</v>
      </c>
      <c r="F19" s="28">
        <v>21</v>
      </c>
      <c r="G19" s="23">
        <v>0</v>
      </c>
      <c r="H19" s="23">
        <f t="shared" si="1"/>
        <v>6.4</v>
      </c>
      <c r="I19" s="27">
        <v>8.5</v>
      </c>
      <c r="J19" s="23">
        <v>0</v>
      </c>
      <c r="K19" s="23">
        <v>0</v>
      </c>
      <c r="L19" s="32" t="s">
        <v>157</v>
      </c>
      <c r="M19" s="89" t="s">
        <v>108</v>
      </c>
      <c r="N19" s="57">
        <f>AVERAGE(K10:K19,K21:K30,K32:K42)</f>
        <v>5.064516129032258</v>
      </c>
      <c r="O19" s="56">
        <f>MAX(K10:K19,K21:K30,K32:K42)</f>
        <v>19</v>
      </c>
      <c r="P19" s="36">
        <f>MIN(K10:K19,K21:K30,K32:K42)</f>
        <v>0</v>
      </c>
      <c r="S19" s="32"/>
      <c r="T19" s="86" t="s">
        <v>225</v>
      </c>
      <c r="U19" s="86">
        <f>COUNTIF(G10:G19,"&gt;=20")+COUNTIF(G21:G30,"&gt;=20")+COUNTIF(G32:G42,"&gt;=20")</f>
        <v>0</v>
      </c>
      <c r="V19" s="32"/>
    </row>
    <row r="20" spans="1:22" x14ac:dyDescent="0.4">
      <c r="A20" s="54" t="s">
        <v>155</v>
      </c>
      <c r="B20" s="53">
        <f t="shared" ref="B20:G20" si="2">AVERAGE(B10:B19)</f>
        <v>7.69</v>
      </c>
      <c r="C20" s="49">
        <f t="shared" si="2"/>
        <v>0.14999999999999986</v>
      </c>
      <c r="D20" s="49">
        <f t="shared" si="2"/>
        <v>7.5400000000000009</v>
      </c>
      <c r="E20" s="52">
        <f t="shared" si="2"/>
        <v>3.56</v>
      </c>
      <c r="F20" s="51">
        <f t="shared" si="2"/>
        <v>19.7</v>
      </c>
      <c r="G20" s="49">
        <f t="shared" si="2"/>
        <v>0.64</v>
      </c>
      <c r="H20" s="49">
        <f>MAX(H10:H19)</f>
        <v>6.4</v>
      </c>
      <c r="I20" s="50">
        <f>AVERAGE(I10:I19)</f>
        <v>4.3529999999999998</v>
      </c>
      <c r="J20" s="49">
        <f>SUM(J10:J19)</f>
        <v>0</v>
      </c>
      <c r="K20" s="49">
        <f>AVERAGE(K10:K19)</f>
        <v>0</v>
      </c>
      <c r="Q20" s="32"/>
      <c r="R20" s="32"/>
      <c r="S20" s="32"/>
      <c r="T20" s="87" t="s">
        <v>226</v>
      </c>
      <c r="U20" s="87">
        <f>COUNTIF(G10:G19,"&gt;=50")+COUNTIF(G21:G30,"&gt;=50")+COUNTIF(G32:G42,"&gt;=50")</f>
        <v>0</v>
      </c>
      <c r="V20" s="32"/>
    </row>
    <row r="21" spans="1:22" x14ac:dyDescent="0.4">
      <c r="A21" s="31">
        <v>11</v>
      </c>
      <c r="B21" s="30">
        <v>12.4</v>
      </c>
      <c r="C21" s="23">
        <v>3.3</v>
      </c>
      <c r="D21" s="23">
        <f t="shared" ref="D21:D30" si="3">SUM(B21-C21)</f>
        <v>9.1000000000000014</v>
      </c>
      <c r="E21" s="29">
        <v>8.4</v>
      </c>
      <c r="F21" s="28">
        <v>76</v>
      </c>
      <c r="G21" s="23">
        <v>4.5999999999999996</v>
      </c>
      <c r="H21" s="23">
        <f>H19+G21</f>
        <v>11</v>
      </c>
      <c r="I21" s="27">
        <v>0</v>
      </c>
      <c r="J21" s="23">
        <v>0</v>
      </c>
      <c r="K21" s="23">
        <v>0</v>
      </c>
      <c r="Q21" s="32"/>
      <c r="R21" s="32"/>
      <c r="S21" s="32"/>
      <c r="V21" s="32"/>
    </row>
    <row r="22" spans="1:22" x14ac:dyDescent="0.4">
      <c r="A22" s="31">
        <v>12</v>
      </c>
      <c r="B22" s="30">
        <v>7.6</v>
      </c>
      <c r="C22" s="23">
        <v>1.6</v>
      </c>
      <c r="D22" s="23">
        <f t="shared" si="3"/>
        <v>6</v>
      </c>
      <c r="E22" s="29">
        <v>4.4000000000000004</v>
      </c>
      <c r="F22" s="28">
        <v>59</v>
      </c>
      <c r="G22" s="23">
        <v>0.4</v>
      </c>
      <c r="H22" s="23">
        <f t="shared" ref="H22:H30" si="4">H21+G22</f>
        <v>11.4</v>
      </c>
      <c r="I22" s="27">
        <v>6.95</v>
      </c>
      <c r="J22" s="23">
        <v>0</v>
      </c>
      <c r="K22" s="23">
        <v>0</v>
      </c>
      <c r="Q22" s="32"/>
      <c r="R22" s="32"/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9.1999999999999993</v>
      </c>
      <c r="C23" s="23">
        <v>1.3</v>
      </c>
      <c r="D23" s="23">
        <f t="shared" si="3"/>
        <v>7.8999999999999995</v>
      </c>
      <c r="E23" s="29">
        <v>4.8</v>
      </c>
      <c r="F23" s="28">
        <v>64</v>
      </c>
      <c r="G23" s="23">
        <v>5.8</v>
      </c>
      <c r="H23" s="23">
        <f t="shared" si="4"/>
        <v>17.2</v>
      </c>
      <c r="I23" s="27">
        <v>4.88</v>
      </c>
      <c r="J23" s="23">
        <v>0</v>
      </c>
      <c r="K23" s="23">
        <v>0</v>
      </c>
      <c r="Q23" s="32"/>
      <c r="R23" s="32"/>
      <c r="S23" s="32"/>
      <c r="T23" s="59" t="s">
        <v>160</v>
      </c>
      <c r="U23" s="59">
        <f>COUNTIF($F$10:$F$19,"&gt;=61.8")+COUNTIF($F$21:$F$30,"&gt;=61.8")+COUNTIF($F$32:$F$42,"&gt;=61.8")</f>
        <v>2</v>
      </c>
      <c r="V23" s="32"/>
    </row>
    <row r="24" spans="1:22" x14ac:dyDescent="0.4">
      <c r="A24" s="31">
        <v>14</v>
      </c>
      <c r="B24" s="30">
        <v>1.7</v>
      </c>
      <c r="C24" s="23">
        <v>-1.7</v>
      </c>
      <c r="D24" s="23">
        <f t="shared" si="3"/>
        <v>3.4</v>
      </c>
      <c r="E24" s="29">
        <v>-0.6</v>
      </c>
      <c r="F24" s="28">
        <v>47</v>
      </c>
      <c r="G24" s="23">
        <v>16.399999999999999</v>
      </c>
      <c r="H24" s="23">
        <f t="shared" si="4"/>
        <v>33.599999999999994</v>
      </c>
      <c r="I24" s="27">
        <v>0.1</v>
      </c>
      <c r="J24" s="23">
        <v>5</v>
      </c>
      <c r="K24" s="23">
        <v>5</v>
      </c>
      <c r="Q24" s="32"/>
      <c r="R24" s="32"/>
      <c r="S24" s="32"/>
      <c r="T24" s="56" t="s">
        <v>158</v>
      </c>
      <c r="U24" s="56">
        <f>COUNTIF($F$10:$F$19,"&gt;=49.9")+COUNTIF($F$21:$F$30,"&gt;=49.9")+COUNTIF($F$32:$F$42,"&gt;=49.9")-COUNTIF($F$10:$F$19,"&gt;61.7")-COUNTIF($F$21:$F$30,"&gt;61.7")-COUNTIF($F$32:$F$42,"&gt;61.7")</f>
        <v>2</v>
      </c>
      <c r="V24" s="32"/>
    </row>
    <row r="25" spans="1:22" x14ac:dyDescent="0.4">
      <c r="A25" s="31">
        <v>15</v>
      </c>
      <c r="B25" s="30">
        <v>1.3</v>
      </c>
      <c r="C25" s="23">
        <v>-1.2</v>
      </c>
      <c r="D25" s="23">
        <f t="shared" si="3"/>
        <v>2.5</v>
      </c>
      <c r="E25" s="29">
        <v>-0.1</v>
      </c>
      <c r="F25" s="28">
        <v>34</v>
      </c>
      <c r="G25" s="23">
        <v>18</v>
      </c>
      <c r="H25" s="23">
        <f t="shared" si="4"/>
        <v>51.599999999999994</v>
      </c>
      <c r="I25" s="27">
        <v>0.2</v>
      </c>
      <c r="J25" s="23">
        <v>12</v>
      </c>
      <c r="K25" s="23">
        <v>17</v>
      </c>
      <c r="Q25" s="32"/>
      <c r="R25" s="32"/>
      <c r="S25" s="32"/>
      <c r="T25" s="55" t="s">
        <v>156</v>
      </c>
      <c r="U25" s="55">
        <f>COUNTIF($F$10:$F$19,"&gt;=38.8")+COUNTIF($F$21:$F$30,"&gt;=38.8")+COUNTIF($F$32:$F$42,"&gt;=38.8")-COUNTIF($F$10:$F$19,"&gt;49.8")-COUNTIF($F$21:$F$30,"&gt;49.8")-COUNTIF($F$32:$F$42,"&gt;49.8")</f>
        <v>1</v>
      </c>
      <c r="V25" s="32"/>
    </row>
    <row r="26" spans="1:22" x14ac:dyDescent="0.4">
      <c r="A26" s="31">
        <v>16</v>
      </c>
      <c r="B26" s="30">
        <v>0.7</v>
      </c>
      <c r="C26" s="23">
        <v>-2.2000000000000002</v>
      </c>
      <c r="D26" s="23">
        <f t="shared" si="3"/>
        <v>2.9000000000000004</v>
      </c>
      <c r="E26" s="29">
        <v>-0.7</v>
      </c>
      <c r="F26" s="28">
        <v>26</v>
      </c>
      <c r="G26" s="23">
        <v>6</v>
      </c>
      <c r="H26" s="23">
        <f t="shared" si="4"/>
        <v>57.599999999999994</v>
      </c>
      <c r="I26" s="27">
        <v>1.25</v>
      </c>
      <c r="J26" s="23">
        <v>7</v>
      </c>
      <c r="K26" s="23">
        <v>19</v>
      </c>
      <c r="Q26" s="32"/>
      <c r="R26" s="32"/>
      <c r="S26" s="32"/>
      <c r="T26" s="48" t="s">
        <v>154</v>
      </c>
      <c r="U26" s="48">
        <f>COUNTIF($F$10:$F$19,"&gt;=28.6")+COUNTIF($F$21:$F$30,"&gt;=28.6")+COUNTIF($F$32:$F$42,"&gt;=28.6")-COUNTIF($F$10:$F$19,"&gt;38.7")-COUNTIF($F$21:$F$30,"&gt;38.7")-COUNTIF($F$32:$F$42,"&gt;38.7")</f>
        <v>5</v>
      </c>
      <c r="V26" s="32"/>
    </row>
    <row r="27" spans="1:22" x14ac:dyDescent="0.4">
      <c r="A27" s="31">
        <v>17</v>
      </c>
      <c r="B27" s="30">
        <v>1.4</v>
      </c>
      <c r="C27" s="23">
        <v>-2</v>
      </c>
      <c r="D27" s="23">
        <f t="shared" si="3"/>
        <v>3.4</v>
      </c>
      <c r="E27" s="29">
        <v>-0.8</v>
      </c>
      <c r="F27" s="28">
        <v>23</v>
      </c>
      <c r="G27" s="23">
        <v>7.2</v>
      </c>
      <c r="H27" s="23">
        <f t="shared" si="4"/>
        <v>64.8</v>
      </c>
      <c r="I27" s="27">
        <v>1.6</v>
      </c>
      <c r="J27" s="23">
        <v>4</v>
      </c>
      <c r="K27" s="23">
        <v>19</v>
      </c>
      <c r="Q27" s="32"/>
      <c r="R27" s="32"/>
      <c r="S27" s="32"/>
      <c r="T27" s="47" t="s">
        <v>153</v>
      </c>
      <c r="U27" s="47">
        <f>COUNTIF($F$10:$F$19,"&gt;=19.5")+COUNTIF($F$21:$F$30,"&gt;=19.5")+COUNTIF($F$32:$F$42,"&gt;=19.5")-COUNTIF($F$10:$F$19,"&gt;28.5")-COUNTIF($F$21:$F$30,"&gt;28.5")-COUNTIF($F$32:$F$42,"&gt;28.5")</f>
        <v>9</v>
      </c>
      <c r="V27" s="32"/>
    </row>
    <row r="28" spans="1:22" x14ac:dyDescent="0.4">
      <c r="A28" s="31">
        <v>18</v>
      </c>
      <c r="B28" s="30">
        <v>0.7</v>
      </c>
      <c r="C28" s="23">
        <v>-4.7</v>
      </c>
      <c r="D28" s="23">
        <f t="shared" si="3"/>
        <v>5.4</v>
      </c>
      <c r="E28" s="29">
        <v>-2.1</v>
      </c>
      <c r="F28" s="28">
        <v>26</v>
      </c>
      <c r="G28" s="23">
        <v>0</v>
      </c>
      <c r="H28" s="23">
        <f t="shared" si="4"/>
        <v>64.8</v>
      </c>
      <c r="I28" s="27">
        <v>4.8499999999999996</v>
      </c>
      <c r="J28" s="23">
        <v>4</v>
      </c>
      <c r="K28" s="23">
        <v>18</v>
      </c>
      <c r="S28" s="32"/>
      <c r="T28" s="46" t="s">
        <v>152</v>
      </c>
      <c r="U28" s="46">
        <f>COUNTIF($F$10:$F$19,"&gt;=12")+COUNTIF($F$21:$F$30,"&gt;=12")+COUNTIF($F$32:$F$42,"&gt;=12")-COUNTIF($F$10:$F$19,"&gt;19.4")-COUNTIF($F$21:$F$30,"&gt;19.4")-COUNTIF($F$32:$F$42,"&gt;19.4")</f>
        <v>8</v>
      </c>
      <c r="V28" s="32"/>
    </row>
    <row r="29" spans="1:22" x14ac:dyDescent="0.4">
      <c r="A29" s="31">
        <v>19</v>
      </c>
      <c r="B29" s="30">
        <v>1.9</v>
      </c>
      <c r="C29" s="23">
        <v>-6.5</v>
      </c>
      <c r="D29" s="23">
        <f t="shared" si="3"/>
        <v>8.4</v>
      </c>
      <c r="E29" s="29">
        <v>-2.2999999999999998</v>
      </c>
      <c r="F29" s="28">
        <v>32</v>
      </c>
      <c r="G29" s="23">
        <v>1.8</v>
      </c>
      <c r="H29" s="23">
        <f t="shared" si="4"/>
        <v>66.599999999999994</v>
      </c>
      <c r="I29" s="27">
        <v>7.88</v>
      </c>
      <c r="J29" s="23">
        <v>0</v>
      </c>
      <c r="K29" s="23">
        <v>15</v>
      </c>
      <c r="S29" s="32"/>
      <c r="T29" s="32" t="s">
        <v>151</v>
      </c>
      <c r="U29" s="32">
        <f>COUNTIF($F$10:$F$19,"&lt;=11.9")+COUNTIF($F$21:$F$30,"&lt;=11.9")+COUNTIF($F$32:$F$42,"&lt;=11.9")</f>
        <v>4</v>
      </c>
      <c r="V29" s="32"/>
    </row>
    <row r="30" spans="1:22" x14ac:dyDescent="0.4">
      <c r="A30" s="31">
        <v>20</v>
      </c>
      <c r="B30" s="30">
        <v>-0.1</v>
      </c>
      <c r="C30" s="23">
        <v>-5.2</v>
      </c>
      <c r="D30" s="23">
        <f t="shared" si="3"/>
        <v>5.1000000000000005</v>
      </c>
      <c r="E30" s="29">
        <v>-3</v>
      </c>
      <c r="F30" s="28">
        <v>27</v>
      </c>
      <c r="G30" s="23">
        <v>0</v>
      </c>
      <c r="H30" s="23">
        <f t="shared" si="4"/>
        <v>66.599999999999994</v>
      </c>
      <c r="I30" s="27">
        <v>6.98</v>
      </c>
      <c r="J30" s="23">
        <v>5</v>
      </c>
      <c r="K30" s="23">
        <v>17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5">AVERAGE(B21:B30)</f>
        <v>3.6799999999999997</v>
      </c>
      <c r="C31" s="17">
        <f t="shared" si="5"/>
        <v>-1.73</v>
      </c>
      <c r="D31" s="17">
        <f t="shared" si="5"/>
        <v>5.4099999999999993</v>
      </c>
      <c r="E31" s="39">
        <f t="shared" si="5"/>
        <v>0.8</v>
      </c>
      <c r="F31" s="18">
        <f t="shared" si="5"/>
        <v>41.4</v>
      </c>
      <c r="G31" s="17">
        <f t="shared" si="5"/>
        <v>6.0200000000000005</v>
      </c>
      <c r="H31" s="17">
        <f>SUM(H30-H19)</f>
        <v>60.199999999999996</v>
      </c>
      <c r="I31" s="16">
        <f>AVERAGE(I21:I30)</f>
        <v>3.4689999999999999</v>
      </c>
      <c r="J31" s="17">
        <f>SUM(J21:J30)</f>
        <v>37</v>
      </c>
      <c r="K31" s="17">
        <f>AVERAGE(K21:K30)</f>
        <v>11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1.6</v>
      </c>
      <c r="C32" s="23">
        <v>-5.7</v>
      </c>
      <c r="D32" s="23">
        <f t="shared" ref="D32:D42" si="6">SUM(B32-C32)</f>
        <v>7.3000000000000007</v>
      </c>
      <c r="E32" s="29">
        <v>-1.5</v>
      </c>
      <c r="F32" s="28">
        <v>21</v>
      </c>
      <c r="G32" s="23">
        <v>0</v>
      </c>
      <c r="H32" s="23">
        <f>H30+G32</f>
        <v>66.599999999999994</v>
      </c>
      <c r="I32" s="27">
        <v>4.42</v>
      </c>
      <c r="J32" s="23">
        <v>0</v>
      </c>
      <c r="K32" s="23">
        <v>15</v>
      </c>
      <c r="S32" s="32"/>
      <c r="T32" s="44" t="s">
        <v>149</v>
      </c>
      <c r="U32" s="44">
        <f>COUNTIF(K10:K19,"&gt;0")+COUNTIF(K21:K30,"&gt;0")+COUNTIF(K32:K42,"&gt;0")</f>
        <v>11</v>
      </c>
      <c r="V32" s="32"/>
    </row>
    <row r="33" spans="1:22" x14ac:dyDescent="0.4">
      <c r="A33" s="31">
        <v>22</v>
      </c>
      <c r="B33" s="30">
        <v>2.7</v>
      </c>
      <c r="C33" s="23">
        <v>-1.8</v>
      </c>
      <c r="D33" s="23">
        <f t="shared" si="6"/>
        <v>4.5</v>
      </c>
      <c r="E33" s="29">
        <v>0.2</v>
      </c>
      <c r="F33" s="28">
        <v>35</v>
      </c>
      <c r="G33" s="23">
        <v>0</v>
      </c>
      <c r="H33" s="23">
        <f t="shared" ref="H33:H42" si="7">H32+G33</f>
        <v>66.599999999999994</v>
      </c>
      <c r="I33" s="27">
        <v>4.8499999999999996</v>
      </c>
      <c r="J33" s="23">
        <v>0</v>
      </c>
      <c r="K33" s="23">
        <v>13</v>
      </c>
      <c r="S33" s="32"/>
      <c r="T33" s="43" t="s">
        <v>148</v>
      </c>
      <c r="U33" s="43">
        <f>COUNTIF(K10:K19,"&gt;=1")+COUNTIF(K21:K30,"&gt;=1")+COUNTIF(K32:K42,"&gt;=1")</f>
        <v>11</v>
      </c>
      <c r="V33" s="32"/>
    </row>
    <row r="34" spans="1:22" x14ac:dyDescent="0.4">
      <c r="A34" s="31">
        <v>23</v>
      </c>
      <c r="B34" s="30">
        <v>6.3</v>
      </c>
      <c r="C34" s="23">
        <v>-4.0999999999999996</v>
      </c>
      <c r="D34" s="23">
        <f t="shared" si="6"/>
        <v>10.399999999999999</v>
      </c>
      <c r="E34" s="29">
        <v>1.2</v>
      </c>
      <c r="F34" s="28">
        <v>21</v>
      </c>
      <c r="G34" s="23">
        <v>0</v>
      </c>
      <c r="H34" s="23">
        <f t="shared" si="7"/>
        <v>66.599999999999994</v>
      </c>
      <c r="I34" s="27">
        <v>7.88</v>
      </c>
      <c r="J34" s="23">
        <v>0</v>
      </c>
      <c r="K34" s="23">
        <v>11</v>
      </c>
      <c r="S34" s="32"/>
      <c r="T34" s="42" t="s">
        <v>147</v>
      </c>
      <c r="U34" s="42">
        <f>COUNTIF(K10:K19,"&gt;=5")+COUNTIF(K21:K30,"&gt;=5")+COUNTIF(K32:K42,"&gt;=5")</f>
        <v>11</v>
      </c>
      <c r="V34" s="32"/>
    </row>
    <row r="35" spans="1:22" x14ac:dyDescent="0.4">
      <c r="A35" s="31">
        <v>24</v>
      </c>
      <c r="B35" s="30">
        <v>11.7</v>
      </c>
      <c r="C35" s="23">
        <v>-0.6</v>
      </c>
      <c r="D35" s="23">
        <f t="shared" si="6"/>
        <v>12.299999999999999</v>
      </c>
      <c r="E35" s="29">
        <v>5.3</v>
      </c>
      <c r="F35" s="28">
        <v>11</v>
      </c>
      <c r="G35" s="23">
        <v>0</v>
      </c>
      <c r="H35" s="23">
        <f t="shared" si="7"/>
        <v>66.599999999999994</v>
      </c>
      <c r="I35" s="27">
        <v>9.6300000000000008</v>
      </c>
      <c r="J35" s="23">
        <v>0</v>
      </c>
      <c r="K35" s="23">
        <v>8</v>
      </c>
      <c r="S35" s="32"/>
      <c r="T35" s="41" t="s">
        <v>146</v>
      </c>
      <c r="U35" s="41">
        <f>COUNTIF(K10:K19,"&gt;=10")+COUNTIF(K21:K30,"&gt;=10")+COUNTIF(K32:K42,"&gt;=10")</f>
        <v>9</v>
      </c>
      <c r="V35" s="32"/>
    </row>
    <row r="36" spans="1:22" x14ac:dyDescent="0.4">
      <c r="A36" s="31">
        <v>25</v>
      </c>
      <c r="B36" s="30">
        <v>12.1</v>
      </c>
      <c r="C36" s="23">
        <v>2.9</v>
      </c>
      <c r="D36" s="23">
        <f t="shared" si="6"/>
        <v>9.1999999999999993</v>
      </c>
      <c r="E36" s="29">
        <v>7.1</v>
      </c>
      <c r="F36" s="28">
        <v>19</v>
      </c>
      <c r="G36" s="23">
        <v>0</v>
      </c>
      <c r="H36" s="23">
        <f t="shared" si="7"/>
        <v>66.599999999999994</v>
      </c>
      <c r="I36" s="27">
        <v>9.17</v>
      </c>
      <c r="J36" s="23">
        <v>0</v>
      </c>
      <c r="K36" s="23">
        <v>0</v>
      </c>
      <c r="S36" s="32"/>
      <c r="T36" s="40" t="s">
        <v>145</v>
      </c>
      <c r="U36" s="40">
        <f>COUNTIF(K10:K19,"&gt;=15")+COUNTIF(K21:K30,"&gt;=15")+COUNTIF(K32:K42,"&gt;=15")</f>
        <v>7</v>
      </c>
      <c r="V36" s="32"/>
    </row>
    <row r="37" spans="1:22" x14ac:dyDescent="0.4">
      <c r="A37" s="31">
        <v>26</v>
      </c>
      <c r="B37" s="30">
        <v>13.5</v>
      </c>
      <c r="C37" s="23">
        <v>1.9</v>
      </c>
      <c r="D37" s="23">
        <f t="shared" si="6"/>
        <v>11.6</v>
      </c>
      <c r="E37" s="29">
        <v>7.8</v>
      </c>
      <c r="F37" s="28">
        <v>29</v>
      </c>
      <c r="G37" s="23">
        <v>0</v>
      </c>
      <c r="H37" s="23">
        <f t="shared" si="7"/>
        <v>66.599999999999994</v>
      </c>
      <c r="I37" s="27">
        <v>8.1999999999999993</v>
      </c>
      <c r="J37" s="23">
        <v>0</v>
      </c>
      <c r="K37" s="23">
        <v>0</v>
      </c>
      <c r="S37" s="32"/>
      <c r="T37" s="38" t="s">
        <v>143</v>
      </c>
      <c r="U37" s="38">
        <f>COUNTIF(K10:K19,"&gt;=20")+COUNTIF(K21:K30,"&gt;=20")+COUNTIF(K32:K42,"&gt;=20")</f>
        <v>0</v>
      </c>
      <c r="V37" s="32"/>
    </row>
    <row r="38" spans="1:22" x14ac:dyDescent="0.4">
      <c r="A38" s="31">
        <v>27</v>
      </c>
      <c r="B38" s="30">
        <v>8.6999999999999993</v>
      </c>
      <c r="C38" s="23">
        <v>1.3</v>
      </c>
      <c r="D38" s="23">
        <f t="shared" si="6"/>
        <v>7.3999999999999995</v>
      </c>
      <c r="E38" s="29">
        <v>4.5</v>
      </c>
      <c r="F38" s="28">
        <v>56</v>
      </c>
      <c r="G38" s="23">
        <v>13.2</v>
      </c>
      <c r="H38" s="23">
        <f t="shared" si="7"/>
        <v>79.8</v>
      </c>
      <c r="I38" s="27">
        <v>2.68</v>
      </c>
      <c r="J38" s="23">
        <v>0</v>
      </c>
      <c r="K38" s="23">
        <v>0</v>
      </c>
      <c r="T38" s="37" t="s">
        <v>142</v>
      </c>
      <c r="U38" s="37">
        <f>COUNTIF(K10:K19,"&gt;=30")+COUNTIF(K21:K30,"&gt;=30")+COUNTIF(K32:K42,"&gt;=30")</f>
        <v>0</v>
      </c>
    </row>
    <row r="39" spans="1:22" x14ac:dyDescent="0.4">
      <c r="A39" s="31">
        <v>28</v>
      </c>
      <c r="B39" s="30">
        <v>12.4</v>
      </c>
      <c r="C39" s="23">
        <v>-0.3</v>
      </c>
      <c r="D39" s="23">
        <f t="shared" si="6"/>
        <v>12.700000000000001</v>
      </c>
      <c r="E39" s="29">
        <v>5.5</v>
      </c>
      <c r="F39" s="28">
        <v>18</v>
      </c>
      <c r="G39" s="23">
        <v>0</v>
      </c>
      <c r="H39" s="23">
        <f t="shared" si="7"/>
        <v>79.8</v>
      </c>
      <c r="I39" s="27">
        <v>9.67</v>
      </c>
      <c r="J39" s="23">
        <v>0</v>
      </c>
      <c r="K39" s="23">
        <v>0</v>
      </c>
      <c r="T39" s="36" t="s">
        <v>141</v>
      </c>
      <c r="U39" s="36">
        <f>COUNTIF(K10:K19,"&gt;=40")+COUNTIF(K21:K30,"&gt;=40")+COUNTIF(K32:K42,"&gt;=40")</f>
        <v>0</v>
      </c>
    </row>
    <row r="40" spans="1:22" x14ac:dyDescent="0.4">
      <c r="A40" s="31">
        <v>29</v>
      </c>
      <c r="B40" s="30">
        <v>16.5</v>
      </c>
      <c r="C40" s="23">
        <v>4.3</v>
      </c>
      <c r="D40" s="23">
        <f t="shared" si="6"/>
        <v>12.2</v>
      </c>
      <c r="E40" s="29">
        <v>10.1</v>
      </c>
      <c r="F40" s="28">
        <v>18</v>
      </c>
      <c r="G40" s="23">
        <v>0</v>
      </c>
      <c r="H40" s="23">
        <f t="shared" si="7"/>
        <v>79.8</v>
      </c>
      <c r="I40" s="27">
        <v>9.93</v>
      </c>
      <c r="J40" s="23">
        <v>0</v>
      </c>
      <c r="K40" s="23">
        <v>0</v>
      </c>
      <c r="T40" s="35" t="s">
        <v>140</v>
      </c>
      <c r="U40" s="35">
        <f>COUNTIF(K10:K19,"&gt;=50")+COUNTIF(K21:K30,"&gt;=50")+COUNTIF(K32:K42,"&gt;=50")</f>
        <v>0</v>
      </c>
    </row>
    <row r="41" spans="1:22" x14ac:dyDescent="0.4">
      <c r="A41" s="31">
        <v>30</v>
      </c>
      <c r="B41" s="30">
        <v>18.899999999999999</v>
      </c>
      <c r="C41" s="23">
        <v>6.5</v>
      </c>
      <c r="D41" s="23">
        <f t="shared" si="6"/>
        <v>12.399999999999999</v>
      </c>
      <c r="E41" s="29">
        <v>12.3</v>
      </c>
      <c r="F41" s="28">
        <v>11</v>
      </c>
      <c r="G41" s="23">
        <v>0</v>
      </c>
      <c r="H41" s="23">
        <f t="shared" si="7"/>
        <v>79.8</v>
      </c>
      <c r="I41" s="27">
        <v>9.5</v>
      </c>
      <c r="J41" s="23">
        <v>0</v>
      </c>
      <c r="K41" s="23">
        <v>0</v>
      </c>
      <c r="T41" s="34" t="s">
        <v>139</v>
      </c>
      <c r="U41" s="34">
        <f>COUNTIF(K10:K19,"&gt;=75")+COUNTIF(K21:K30,"&gt;=75")+COUNTIF(K32:K42,"&gt;=75")</f>
        <v>0</v>
      </c>
    </row>
    <row r="42" spans="1:22" x14ac:dyDescent="0.4">
      <c r="A42" s="26">
        <v>31</v>
      </c>
      <c r="B42" s="25">
        <v>19.8</v>
      </c>
      <c r="C42" s="21">
        <v>8.9</v>
      </c>
      <c r="D42" s="21">
        <f t="shared" si="6"/>
        <v>10.9</v>
      </c>
      <c r="E42" s="21">
        <v>13.8</v>
      </c>
      <c r="F42" s="24">
        <v>16</v>
      </c>
      <c r="G42" s="21">
        <v>0</v>
      </c>
      <c r="H42" s="23">
        <f t="shared" si="7"/>
        <v>79.8</v>
      </c>
      <c r="I42" s="22">
        <v>9.7799999999999994</v>
      </c>
      <c r="J42" s="23">
        <v>0</v>
      </c>
      <c r="K42" s="23">
        <v>0</v>
      </c>
      <c r="T42" s="33" t="s">
        <v>138</v>
      </c>
      <c r="U42" s="33">
        <f>COUNTIF(K10:K19,"&gt;=100")+COUNTIF(K21:K30,"&gt;=100")+COUNTIF(K32:K42,"&gt;=100")</f>
        <v>0</v>
      </c>
    </row>
    <row r="43" spans="1:22" x14ac:dyDescent="0.4">
      <c r="A43" s="20" t="s">
        <v>137</v>
      </c>
      <c r="B43" s="19">
        <f t="shared" ref="B43:G43" si="8">AVERAGE(B32:B42)</f>
        <v>11.290909090909091</v>
      </c>
      <c r="C43" s="17">
        <f t="shared" si="8"/>
        <v>1.2090909090909092</v>
      </c>
      <c r="D43" s="17">
        <f t="shared" si="8"/>
        <v>10.081818181818182</v>
      </c>
      <c r="E43" s="17">
        <f t="shared" si="8"/>
        <v>6.0272727272727273</v>
      </c>
      <c r="F43" s="18">
        <f t="shared" si="8"/>
        <v>23.181818181818183</v>
      </c>
      <c r="G43" s="17">
        <f t="shared" si="8"/>
        <v>1.2</v>
      </c>
      <c r="H43" s="17">
        <f>SUM(H42-H30)</f>
        <v>13.200000000000003</v>
      </c>
      <c r="I43" s="16">
        <f>AVERAGE(I32:I42)</f>
        <v>7.7918181818181829</v>
      </c>
      <c r="J43" s="15">
        <f>SUM(J32:J42)</f>
        <v>0</v>
      </c>
      <c r="K43" s="15">
        <f>AVERAGE(K32:K42)</f>
        <v>4.2727272727272725</v>
      </c>
    </row>
    <row r="44" spans="1:22" x14ac:dyDescent="0.4">
      <c r="A44" s="14" t="s">
        <v>136</v>
      </c>
      <c r="B44" s="13">
        <f t="shared" ref="B44:G44" si="9">AVERAGE(B10:B19,B21:B30,B32:B42)</f>
        <v>7.6741935483870982</v>
      </c>
      <c r="C44" s="9">
        <f t="shared" si="9"/>
        <v>-8.0645161290322634E-2</v>
      </c>
      <c r="D44" s="9">
        <f t="shared" si="9"/>
        <v>7.7548387096774203</v>
      </c>
      <c r="E44" s="9">
        <f t="shared" si="9"/>
        <v>3.54516129032258</v>
      </c>
      <c r="F44" s="12">
        <f t="shared" si="9"/>
        <v>27.93548387096774</v>
      </c>
      <c r="G44" s="9">
        <f t="shared" si="9"/>
        <v>2.5741935483870968</v>
      </c>
      <c r="H44" s="11">
        <f>MAX(H10:H19,H21:H30,H32:H42)</f>
        <v>79.8</v>
      </c>
      <c r="I44" s="10">
        <f>AVERAGE(I10:I19,I21:I30,I32:I42)</f>
        <v>5.2880645161290323</v>
      </c>
      <c r="J44" s="9">
        <f>SUM(J10:J19,J21:J30,J32:J42)</f>
        <v>37</v>
      </c>
      <c r="K44" s="9">
        <f>AVERAGE(K10:K19,K21:K30,K32:K42)</f>
        <v>5.064516129032258</v>
      </c>
    </row>
  </sheetData>
  <protectedRanges>
    <protectedRange sqref="B21:C30 B32:C42 R16 V17 V8:V9 V12:V13 W1 AM1 BC1 A3 B10:C19 R7:R9 R14 E10:K19 E21:K30 E32:K42" name="Bereich1"/>
    <protectedRange sqref="L1" name="Bereich1_1"/>
    <protectedRange sqref="Q16" name="Bereich1_2"/>
  </protectedRanges>
  <mergeCells count="10">
    <mergeCell ref="B7:B9"/>
    <mergeCell ref="C7:C9"/>
    <mergeCell ref="A1:K1"/>
    <mergeCell ref="L1:V1"/>
    <mergeCell ref="W1:AL1"/>
    <mergeCell ref="AM1:BB1"/>
    <mergeCell ref="A3:K3"/>
    <mergeCell ref="B6:E6"/>
    <mergeCell ref="G6:H6"/>
    <mergeCell ref="J6:K6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4" manualBreakCount="4">
    <brk id="11" max="43" man="1"/>
    <brk id="22" max="43" man="1"/>
    <brk id="38" max="43" man="1"/>
    <brk id="53" max="4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77F2B-C6A4-43F5-BB36-4515509AA4D3}">
  <dimension ref="A1:BB43"/>
  <sheetViews>
    <sheetView topLeftCell="AJ1" zoomScaleNormal="100" zoomScaleSheetLayoutView="100" workbookViewId="0">
      <selection activeCell="B10" sqref="B10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20" max="20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207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1" t="s">
        <v>200</v>
      </c>
      <c r="K6" s="97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32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26"/>
      <c r="L7" s="32" t="s">
        <v>192</v>
      </c>
      <c r="M7" s="89" t="s">
        <v>100</v>
      </c>
      <c r="N7" s="57">
        <f>AVERAGE(B10:B19,B21:B30,B32:B41)</f>
        <v>10.729999999999997</v>
      </c>
      <c r="O7" s="56">
        <f>MAX(B10:B19,B21:B30,B32:B41)</f>
        <v>19.2</v>
      </c>
      <c r="P7" s="36">
        <f>MIN(B10:B19,B21:B30,B32:B41)</f>
        <v>0.1</v>
      </c>
      <c r="Q7" s="32"/>
      <c r="R7" s="34">
        <v>-2.17</v>
      </c>
      <c r="S7" s="63" t="s">
        <v>191</v>
      </c>
      <c r="T7" s="34" t="s">
        <v>190</v>
      </c>
      <c r="U7" s="34">
        <f>COUNTIF($C$10:$C$19,"&lt;=-10")+COUNTIF($C$21:$C$30,"&lt;=-10")+COUNTIF($C$32:$C$41,"&lt;=-10")</f>
        <v>0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AVERAGE(C10:C19,C21:C30,C32:C41)</f>
        <v>1.1533333333333333</v>
      </c>
      <c r="O8" s="56">
        <f>MAX(C10:C19,C21:C30,C32:C41)</f>
        <v>9.3000000000000007</v>
      </c>
      <c r="P8" s="36">
        <f>MIN(C10:C19,C21:C30,C32:C41)</f>
        <v>-6.6</v>
      </c>
      <c r="Q8" s="32"/>
      <c r="R8" s="34">
        <v>-1.1499999999999999</v>
      </c>
      <c r="S8" s="63" t="s">
        <v>185</v>
      </c>
      <c r="T8" s="36" t="s">
        <v>184</v>
      </c>
      <c r="U8" s="36">
        <f>COUNTIF($B$10:$B$19,"&lt;=0")+COUNTIF($B$21:$B$30,"&lt;=0")+COUNTIF($B$32:$B$41,"&lt;=0")</f>
        <v>0</v>
      </c>
      <c r="V8" s="34">
        <v>0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AVERAGE(E10:E19,E21:E30,E32:E41)</f>
        <v>5.5866666666666669</v>
      </c>
      <c r="O9" s="56">
        <f>MAX(E10:E19,E21:E30,E32:E41)</f>
        <v>13.9</v>
      </c>
      <c r="P9" s="36">
        <f>MIN(E10:E19,E21:E30,E32:E41)</f>
        <v>-3.2</v>
      </c>
      <c r="Q9" s="32"/>
      <c r="R9" s="34">
        <v>-2.11</v>
      </c>
      <c r="S9" s="63" t="s">
        <v>177</v>
      </c>
      <c r="T9" s="37" t="s">
        <v>176</v>
      </c>
      <c r="U9" s="37">
        <f>COUNTIF($C$10:$C$19,"&lt;0")+COUNTIF($C$21:$C$30,"&lt;0")+COUNTIF($C$32:$C$41,"&lt;0")</f>
        <v>13</v>
      </c>
      <c r="V9" s="34">
        <v>5.8</v>
      </c>
    </row>
    <row r="10" spans="1:54" x14ac:dyDescent="0.4">
      <c r="A10" s="31">
        <v>1</v>
      </c>
      <c r="B10" s="30">
        <v>19.2</v>
      </c>
      <c r="C10" s="23">
        <v>9.3000000000000007</v>
      </c>
      <c r="D10" s="23">
        <f t="shared" ref="D10:D19" si="0">SUM(B10-C10)</f>
        <v>9.8999999999999986</v>
      </c>
      <c r="E10" s="29">
        <v>13.9</v>
      </c>
      <c r="F10" s="28">
        <v>21</v>
      </c>
      <c r="G10" s="23">
        <v>0</v>
      </c>
      <c r="H10" s="23">
        <f>G10</f>
        <v>0</v>
      </c>
      <c r="I10" s="27">
        <v>10.02</v>
      </c>
      <c r="J10" s="23">
        <v>0</v>
      </c>
      <c r="K10" s="23">
        <v>0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COUNTIF($B$10:$B$19,"&lt;10")+COUNTIF($B$21:$B$30,"&lt;10")+COUNTIF($B$32:$B$41,"&lt;10")</f>
        <v>11</v>
      </c>
      <c r="V10" s="32"/>
    </row>
    <row r="11" spans="1:54" x14ac:dyDescent="0.4">
      <c r="A11" s="31">
        <v>2</v>
      </c>
      <c r="B11" s="30">
        <v>17.899999999999999</v>
      </c>
      <c r="C11" s="23">
        <v>6.2</v>
      </c>
      <c r="D11" s="23">
        <f t="shared" si="0"/>
        <v>11.7</v>
      </c>
      <c r="E11" s="29">
        <v>11.7</v>
      </c>
      <c r="F11" s="28">
        <v>32</v>
      </c>
      <c r="G11" s="23">
        <v>0</v>
      </c>
      <c r="H11" s="23">
        <f t="shared" ref="H11:H19" si="1">H10+G11</f>
        <v>0</v>
      </c>
      <c r="I11" s="27">
        <v>9.4</v>
      </c>
      <c r="J11" s="23">
        <v>0</v>
      </c>
      <c r="K11" s="23">
        <v>0</v>
      </c>
      <c r="L11" s="32" t="s">
        <v>173</v>
      </c>
      <c r="M11" s="89" t="s">
        <v>102</v>
      </c>
      <c r="N11" s="57">
        <f>AVERAGE(F10:F19,F21:F30,F32:F41)</f>
        <v>31.033333333333335</v>
      </c>
      <c r="O11" s="56">
        <f>MAX(F10:F19,F21:F30,F32:F41)</f>
        <v>53</v>
      </c>
      <c r="P11" s="36">
        <f>MIN(F10:F19,F21:F30,F32:F41)</f>
        <v>19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COUNTIF($B$10:$B$19,"&gt;=20")+COUNTIF($B$21:$B$30,"&gt;=20")+COUNTIF($B$32:$B$41,"&gt;=20")</f>
        <v>0</v>
      </c>
      <c r="V11" s="32"/>
    </row>
    <row r="12" spans="1:54" x14ac:dyDescent="0.4">
      <c r="A12" s="31">
        <v>3</v>
      </c>
      <c r="B12" s="30">
        <v>6.8</v>
      </c>
      <c r="C12" s="23">
        <v>0.3</v>
      </c>
      <c r="D12" s="23">
        <f t="shared" si="0"/>
        <v>6.5</v>
      </c>
      <c r="E12" s="29">
        <v>3.5</v>
      </c>
      <c r="F12" s="28">
        <v>47</v>
      </c>
      <c r="G12" s="23">
        <v>0</v>
      </c>
      <c r="H12" s="23">
        <f t="shared" si="1"/>
        <v>0</v>
      </c>
      <c r="I12" s="27">
        <v>5.0199999999999996</v>
      </c>
      <c r="J12" s="23">
        <v>0</v>
      </c>
      <c r="K12" s="23">
        <v>0</v>
      </c>
      <c r="L12" s="32"/>
      <c r="M12" s="32"/>
      <c r="N12" s="57"/>
      <c r="O12" s="56"/>
      <c r="P12" s="36"/>
      <c r="Q12" s="32"/>
      <c r="R12" s="32"/>
      <c r="S12" s="63" t="s">
        <v>170</v>
      </c>
      <c r="T12" s="48" t="s">
        <v>169</v>
      </c>
      <c r="U12" s="48">
        <f>COUNTIF($B$10:$B$19,"&gt;=25")+COUNTIF($B$21:$B$30,"&gt;=25")+COUNTIF($B$32:$B$41,"&gt;=25")</f>
        <v>0</v>
      </c>
      <c r="V12" s="34">
        <v>0</v>
      </c>
    </row>
    <row r="13" spans="1:54" x14ac:dyDescent="0.4">
      <c r="A13" s="31">
        <v>4</v>
      </c>
      <c r="B13" s="30">
        <v>10.199999999999999</v>
      </c>
      <c r="C13" s="23">
        <v>-1.9</v>
      </c>
      <c r="D13" s="23">
        <f t="shared" si="0"/>
        <v>12.1</v>
      </c>
      <c r="E13" s="29">
        <v>4</v>
      </c>
      <c r="F13" s="28">
        <v>32</v>
      </c>
      <c r="G13" s="23">
        <v>0</v>
      </c>
      <c r="H13" s="23">
        <f t="shared" si="1"/>
        <v>0</v>
      </c>
      <c r="I13" s="27">
        <v>10.1</v>
      </c>
      <c r="J13" s="23">
        <v>0</v>
      </c>
      <c r="K13" s="23">
        <v>0</v>
      </c>
      <c r="L13" s="32" t="s">
        <v>168</v>
      </c>
      <c r="M13" s="89" t="s">
        <v>104</v>
      </c>
      <c r="N13" s="57">
        <f>AVERAGE(G10:G19,G21:G30,G32:G41)</f>
        <v>2.3666666666666667</v>
      </c>
      <c r="O13" s="56">
        <f>MAX(G10:G19,G21:G30,G32:G41)</f>
        <v>19.600000000000001</v>
      </c>
      <c r="P13" s="36">
        <f>MIN(G10:G19,G21:G30,G32:G41)</f>
        <v>0</v>
      </c>
      <c r="Q13" s="32"/>
      <c r="S13" s="63" t="s">
        <v>167</v>
      </c>
      <c r="T13" s="55" t="s">
        <v>166</v>
      </c>
      <c r="U13" s="55">
        <f>COUNTIF($B$10:$B$19,"&gt;=30")+COUNTIF($B$21:$B$30,"&gt;=30")+COUNTIF($B$32:$B$41,"&gt;=30")</f>
        <v>0</v>
      </c>
      <c r="V13" s="34">
        <v>0</v>
      </c>
    </row>
    <row r="14" spans="1:54" x14ac:dyDescent="0.4">
      <c r="A14" s="31">
        <v>5</v>
      </c>
      <c r="B14" s="30">
        <v>12.2</v>
      </c>
      <c r="C14" s="23">
        <v>-2.2999999999999998</v>
      </c>
      <c r="D14" s="23">
        <f t="shared" si="0"/>
        <v>14.5</v>
      </c>
      <c r="E14" s="29">
        <v>5.7</v>
      </c>
      <c r="F14" s="28">
        <v>53</v>
      </c>
      <c r="G14" s="23">
        <v>3.4</v>
      </c>
      <c r="H14" s="23">
        <f t="shared" si="1"/>
        <v>3.4</v>
      </c>
      <c r="I14" s="27">
        <v>6.32</v>
      </c>
      <c r="J14" s="23">
        <v>0</v>
      </c>
      <c r="K14" s="23">
        <v>2</v>
      </c>
      <c r="L14" s="32" t="s">
        <v>165</v>
      </c>
      <c r="M14" s="89" t="s">
        <v>104</v>
      </c>
      <c r="N14" s="64"/>
      <c r="O14" s="32"/>
      <c r="P14" s="32"/>
      <c r="Q14" s="40">
        <f>MAX(H10:H19,H21:H30,H32:H41)</f>
        <v>71</v>
      </c>
      <c r="R14" s="34">
        <v>-23</v>
      </c>
      <c r="S14" s="63" t="s">
        <v>164</v>
      </c>
      <c r="T14" s="59" t="s">
        <v>163</v>
      </c>
      <c r="U14" s="59">
        <f>COUNTIF($C$10:$C$19,"&gt;=20")+COUNTIF($C$21:$C$30,"&gt;=20")+COUNTIF($C$32:$C$41,"&gt;=20")</f>
        <v>0</v>
      </c>
      <c r="V14" s="60"/>
    </row>
    <row r="15" spans="1:54" x14ac:dyDescent="0.4">
      <c r="A15" s="31">
        <v>6</v>
      </c>
      <c r="B15" s="30">
        <v>0.1</v>
      </c>
      <c r="C15" s="23">
        <v>-6.6</v>
      </c>
      <c r="D15" s="23">
        <f t="shared" si="0"/>
        <v>6.6999999999999993</v>
      </c>
      <c r="E15" s="29">
        <v>-3.2</v>
      </c>
      <c r="F15" s="28">
        <v>35</v>
      </c>
      <c r="G15" s="23">
        <v>2.2000000000000002</v>
      </c>
      <c r="H15" s="23">
        <f t="shared" si="1"/>
        <v>5.6</v>
      </c>
      <c r="I15" s="27">
        <v>3.25</v>
      </c>
      <c r="J15" s="23">
        <v>3</v>
      </c>
      <c r="K15" s="23">
        <v>5</v>
      </c>
      <c r="L15" s="32"/>
      <c r="M15" s="32"/>
      <c r="N15" s="57"/>
      <c r="O15" s="56"/>
      <c r="P15" s="36"/>
      <c r="Q15" s="32"/>
      <c r="R15" s="32"/>
      <c r="S15" s="32"/>
      <c r="T15" s="32"/>
      <c r="U15" s="32"/>
      <c r="V15" s="60"/>
    </row>
    <row r="16" spans="1:54" x14ac:dyDescent="0.4">
      <c r="A16" s="31">
        <v>7</v>
      </c>
      <c r="B16" s="30">
        <v>0.2</v>
      </c>
      <c r="C16" s="23">
        <v>-6</v>
      </c>
      <c r="D16" s="23">
        <f t="shared" si="0"/>
        <v>6.2</v>
      </c>
      <c r="E16" s="29">
        <v>-3</v>
      </c>
      <c r="F16" s="28">
        <v>31</v>
      </c>
      <c r="G16" s="23">
        <v>2.2000000000000002</v>
      </c>
      <c r="H16" s="23">
        <f t="shared" si="1"/>
        <v>7.8</v>
      </c>
      <c r="I16" s="27">
        <v>2.5299999999999998</v>
      </c>
      <c r="J16" s="23">
        <v>2</v>
      </c>
      <c r="K16" s="23">
        <v>2</v>
      </c>
      <c r="L16" s="32" t="s">
        <v>162</v>
      </c>
      <c r="M16" s="89" t="s">
        <v>105</v>
      </c>
      <c r="N16" s="57">
        <f>AVERAGE(I10:I19,I21:I30,I32:I41)</f>
        <v>6.9939999999999998</v>
      </c>
      <c r="O16" s="62">
        <f>MAX(I10:I19,I21:I30,I32:I41)</f>
        <v>11.82</v>
      </c>
      <c r="P16" s="61">
        <f>MIN(I10:I19,I21:I30,I32:I41)</f>
        <v>1.33</v>
      </c>
      <c r="Q16" s="94">
        <v>209.78</v>
      </c>
      <c r="R16" s="34">
        <v>30.78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8.1</v>
      </c>
      <c r="C17" s="23">
        <v>-3.9</v>
      </c>
      <c r="D17" s="23">
        <f t="shared" si="0"/>
        <v>12</v>
      </c>
      <c r="E17" s="29">
        <v>1.5</v>
      </c>
      <c r="F17" s="28">
        <v>19</v>
      </c>
      <c r="G17" s="23">
        <v>0</v>
      </c>
      <c r="H17" s="23">
        <f t="shared" si="1"/>
        <v>7.8</v>
      </c>
      <c r="I17" s="27">
        <v>10.5</v>
      </c>
      <c r="J17" s="23">
        <v>0</v>
      </c>
      <c r="K17" s="23">
        <v>1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COUNTIF(G10:G19,"&gt;=1")+COUNTIF(G21:G30,"&gt;=1")+COUNTIF(G32:G41,"&gt;=1")</f>
        <v>9</v>
      </c>
      <c r="V17" s="34">
        <v>-1.7</v>
      </c>
    </row>
    <row r="18" spans="1:22" x14ac:dyDescent="0.4">
      <c r="A18" s="31">
        <v>9</v>
      </c>
      <c r="B18" s="30">
        <v>13.3</v>
      </c>
      <c r="C18" s="23">
        <v>1.8</v>
      </c>
      <c r="D18" s="23">
        <f t="shared" si="0"/>
        <v>11.5</v>
      </c>
      <c r="E18" s="29">
        <v>6.7</v>
      </c>
      <c r="F18" s="28">
        <v>21</v>
      </c>
      <c r="G18" s="23">
        <v>0</v>
      </c>
      <c r="H18" s="23">
        <f t="shared" si="1"/>
        <v>7.8</v>
      </c>
      <c r="I18" s="27">
        <v>8.32</v>
      </c>
      <c r="J18" s="23">
        <v>0</v>
      </c>
      <c r="K18" s="23">
        <v>0</v>
      </c>
      <c r="L18" s="32" t="s">
        <v>159</v>
      </c>
      <c r="M18" s="89" t="s">
        <v>108</v>
      </c>
      <c r="N18" s="57">
        <f>AVERAGE(J10:J19,J21:J30,J32:J41)</f>
        <v>0.46666666666666667</v>
      </c>
      <c r="O18" s="56">
        <f>MAX(J10:J19,J21:J30,J32:J41)</f>
        <v>8</v>
      </c>
      <c r="P18" s="36">
        <f>MIN(J10:J19,J21:J30,J32:J41)</f>
        <v>0</v>
      </c>
      <c r="Q18" s="58">
        <f>SUM(J10:J19,J21:J30,J32:J41)</f>
        <v>14</v>
      </c>
      <c r="R18" s="32"/>
      <c r="S18" s="32"/>
      <c r="T18" s="85" t="s">
        <v>224</v>
      </c>
      <c r="U18" s="85">
        <f>COUNTIF(G10:G19,"&gt;=10")+COUNTIF(G21:G30,"&gt;=10")+COUNTIF(G32:G41,"&gt;=10")</f>
        <v>3</v>
      </c>
      <c r="V18" s="32"/>
    </row>
    <row r="19" spans="1:22" x14ac:dyDescent="0.4">
      <c r="A19" s="31">
        <v>10</v>
      </c>
      <c r="B19" s="30">
        <v>12.3</v>
      </c>
      <c r="C19" s="23">
        <v>3.4</v>
      </c>
      <c r="D19" s="23">
        <f t="shared" si="0"/>
        <v>8.9</v>
      </c>
      <c r="E19" s="29">
        <v>7.6</v>
      </c>
      <c r="F19" s="28">
        <v>19</v>
      </c>
      <c r="G19" s="23">
        <v>0</v>
      </c>
      <c r="H19" s="23">
        <f t="shared" si="1"/>
        <v>7.8</v>
      </c>
      <c r="I19" s="27">
        <v>4.4800000000000004</v>
      </c>
      <c r="J19" s="23">
        <v>0</v>
      </c>
      <c r="K19" s="23">
        <v>0</v>
      </c>
      <c r="L19" s="32" t="s">
        <v>157</v>
      </c>
      <c r="M19" s="89" t="s">
        <v>108</v>
      </c>
      <c r="N19" s="57">
        <f>AVERAGE(K10:K19,K21:K30,K32:K41)</f>
        <v>0.6333333333333333</v>
      </c>
      <c r="O19" s="56">
        <f>MAX(K10:K19,K21:K30,K32:K41)</f>
        <v>8</v>
      </c>
      <c r="P19" s="36">
        <f>MIN(K10:K19,K21:K30,K32:K41)</f>
        <v>0</v>
      </c>
      <c r="S19" s="32"/>
      <c r="T19" s="86" t="s">
        <v>225</v>
      </c>
      <c r="U19" s="86">
        <f>COUNTIF(G10:G19,"&gt;=20")+COUNTIF(G21:G30,"&gt;=20")+COUNTIF(G32:G41,"&gt;=20")</f>
        <v>0</v>
      </c>
      <c r="V19" s="32"/>
    </row>
    <row r="20" spans="1:22" x14ac:dyDescent="0.4">
      <c r="A20" s="54" t="s">
        <v>155</v>
      </c>
      <c r="B20" s="53">
        <f t="shared" ref="B20:G20" si="2">AVERAGE(B10:B19)</f>
        <v>10.029999999999998</v>
      </c>
      <c r="C20" s="49">
        <f t="shared" si="2"/>
        <v>3.0000000000000117E-2</v>
      </c>
      <c r="D20" s="49">
        <f t="shared" si="2"/>
        <v>10</v>
      </c>
      <c r="E20" s="52">
        <f t="shared" si="2"/>
        <v>4.8400000000000007</v>
      </c>
      <c r="F20" s="51">
        <f t="shared" si="2"/>
        <v>31</v>
      </c>
      <c r="G20" s="49">
        <f t="shared" si="2"/>
        <v>0.78</v>
      </c>
      <c r="H20" s="49">
        <f>MAX(H10:H19)</f>
        <v>7.8</v>
      </c>
      <c r="I20" s="50">
        <f>AVERAGE(I10:I19)</f>
        <v>6.9940000000000015</v>
      </c>
      <c r="J20" s="49">
        <f>SUM(J10:J19)</f>
        <v>5</v>
      </c>
      <c r="K20" s="49">
        <f>AVERAGE(K10:K19)</f>
        <v>1</v>
      </c>
      <c r="S20" s="32"/>
      <c r="T20" s="87" t="s">
        <v>226</v>
      </c>
      <c r="U20" s="87">
        <f>COUNTIF(G10:G19,"&gt;=50")+COUNTIF(G21:G30,"&gt;=50")+COUNTIF(G32:G41,"&gt;=50")</f>
        <v>0</v>
      </c>
      <c r="V20" s="32"/>
    </row>
    <row r="21" spans="1:22" x14ac:dyDescent="0.4">
      <c r="A21" s="31">
        <v>11</v>
      </c>
      <c r="B21" s="30">
        <v>16</v>
      </c>
      <c r="C21" s="23">
        <v>4.9000000000000004</v>
      </c>
      <c r="D21" s="23">
        <f t="shared" ref="D21:D30" si="3">SUM(B21-C21)</f>
        <v>11.1</v>
      </c>
      <c r="E21" s="29">
        <v>8.9</v>
      </c>
      <c r="F21" s="28">
        <v>34</v>
      </c>
      <c r="G21" s="23">
        <v>13.2</v>
      </c>
      <c r="H21" s="23">
        <f>H19+G21</f>
        <v>21</v>
      </c>
      <c r="I21" s="27">
        <v>6.9</v>
      </c>
      <c r="J21" s="23">
        <v>0</v>
      </c>
      <c r="K21" s="23">
        <v>0</v>
      </c>
      <c r="S21" s="32"/>
      <c r="V21" s="32"/>
    </row>
    <row r="22" spans="1:22" x14ac:dyDescent="0.4">
      <c r="A22" s="31">
        <v>12</v>
      </c>
      <c r="B22" s="30">
        <v>5</v>
      </c>
      <c r="C22" s="23">
        <v>-1.9</v>
      </c>
      <c r="D22" s="23">
        <f t="shared" si="3"/>
        <v>6.9</v>
      </c>
      <c r="E22" s="29">
        <v>0.4</v>
      </c>
      <c r="F22" s="28">
        <v>31</v>
      </c>
      <c r="G22" s="23">
        <v>19.600000000000001</v>
      </c>
      <c r="H22" s="23">
        <f t="shared" ref="H22:H30" si="4">H21+G22</f>
        <v>40.6</v>
      </c>
      <c r="I22" s="27">
        <v>6.17</v>
      </c>
      <c r="J22" s="23">
        <v>8</v>
      </c>
      <c r="K22" s="23">
        <v>8</v>
      </c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4.3</v>
      </c>
      <c r="C23" s="23">
        <v>-3.6</v>
      </c>
      <c r="D23" s="23">
        <f t="shared" si="3"/>
        <v>7.9</v>
      </c>
      <c r="E23" s="29">
        <v>0.1</v>
      </c>
      <c r="F23" s="28">
        <v>29</v>
      </c>
      <c r="G23" s="23">
        <v>0</v>
      </c>
      <c r="H23" s="23">
        <f t="shared" si="4"/>
        <v>40.6</v>
      </c>
      <c r="I23" s="27">
        <v>5.75</v>
      </c>
      <c r="J23" s="23">
        <v>1</v>
      </c>
      <c r="K23" s="23">
        <v>1</v>
      </c>
      <c r="S23" s="32"/>
      <c r="T23" s="59" t="s">
        <v>160</v>
      </c>
      <c r="U23" s="59">
        <f>COUNTIF($F$10:$F$19,"&gt;=61.8")+COUNTIF($F$21:$F$30,"&gt;=61.8")+COUNTIF($F$32:$F$41,"&gt;=61.8")</f>
        <v>0</v>
      </c>
      <c r="V23" s="32"/>
    </row>
    <row r="24" spans="1:22" x14ac:dyDescent="0.4">
      <c r="A24" s="31">
        <v>14</v>
      </c>
      <c r="B24" s="30">
        <v>5.3</v>
      </c>
      <c r="C24" s="23">
        <v>-3.3</v>
      </c>
      <c r="D24" s="23">
        <f t="shared" si="3"/>
        <v>8.6</v>
      </c>
      <c r="E24" s="29">
        <v>0.4</v>
      </c>
      <c r="F24" s="28">
        <v>32</v>
      </c>
      <c r="G24" s="23">
        <v>0</v>
      </c>
      <c r="H24" s="23">
        <f t="shared" si="4"/>
        <v>40.6</v>
      </c>
      <c r="I24" s="27">
        <v>9.3000000000000007</v>
      </c>
      <c r="J24" s="23">
        <v>0</v>
      </c>
      <c r="K24" s="23">
        <v>0</v>
      </c>
      <c r="S24" s="32"/>
      <c r="T24" s="56" t="s">
        <v>158</v>
      </c>
      <c r="U24" s="56">
        <f>COUNTIF($F$10:$F$19,"&gt;=49.9")+COUNTIF($F$21:$F$30,"&gt;=49.9")+COUNTIF($F$32:$F$41,"&gt;=49.9")-COUNTIF($F$10:$F$19,"&gt;61.7")-COUNTIF($F$21:$F$30,"&gt;61.7")-COUNTIF($F$32:$F$41,"&gt;61.7")</f>
        <v>1</v>
      </c>
      <c r="V24" s="32"/>
    </row>
    <row r="25" spans="1:22" x14ac:dyDescent="0.4">
      <c r="A25" s="31">
        <v>15</v>
      </c>
      <c r="B25" s="30">
        <v>4.7</v>
      </c>
      <c r="C25" s="23">
        <v>-2.8</v>
      </c>
      <c r="D25" s="23">
        <f t="shared" si="3"/>
        <v>7.5</v>
      </c>
      <c r="E25" s="29">
        <v>0.3</v>
      </c>
      <c r="F25" s="28">
        <v>40</v>
      </c>
      <c r="G25" s="23">
        <v>0</v>
      </c>
      <c r="H25" s="23">
        <f t="shared" si="4"/>
        <v>40.6</v>
      </c>
      <c r="I25" s="27">
        <v>5.17</v>
      </c>
      <c r="J25" s="23">
        <v>0</v>
      </c>
      <c r="K25" s="23">
        <v>0</v>
      </c>
      <c r="S25" s="32"/>
      <c r="T25" s="55" t="s">
        <v>156</v>
      </c>
      <c r="U25" s="55">
        <f>COUNTIF($F$10:$F$19,"&gt;=38.8")+COUNTIF($F$21:$F$30,"&gt;=38.8")+COUNTIF($F$32:$F$41,"&gt;=38.8")-COUNTIF($F$10:$F$19,"&gt;49.8")-COUNTIF($F$21:$F$30,"&gt;49.8")-COUNTIF($F$32:$F$41,"&gt;49.8")</f>
        <v>5</v>
      </c>
      <c r="V25" s="32"/>
    </row>
    <row r="26" spans="1:22" x14ac:dyDescent="0.4">
      <c r="A26" s="31">
        <v>16</v>
      </c>
      <c r="B26" s="30">
        <v>6.1</v>
      </c>
      <c r="C26" s="23">
        <v>-3.4</v>
      </c>
      <c r="D26" s="23">
        <f t="shared" si="3"/>
        <v>9.5</v>
      </c>
      <c r="E26" s="29">
        <v>1.2</v>
      </c>
      <c r="F26" s="28">
        <v>39</v>
      </c>
      <c r="G26" s="23">
        <v>0</v>
      </c>
      <c r="H26" s="23">
        <f t="shared" si="4"/>
        <v>40.6</v>
      </c>
      <c r="I26" s="27">
        <v>9.65</v>
      </c>
      <c r="J26" s="23">
        <v>0</v>
      </c>
      <c r="K26" s="23">
        <v>0</v>
      </c>
      <c r="S26" s="32"/>
      <c r="T26" s="48" t="s">
        <v>154</v>
      </c>
      <c r="U26" s="48">
        <f>COUNTIF($F$10:$F$19,"&gt;=28.6")+COUNTIF($F$21:$F$30,"&gt;=28.6")+COUNTIF($F$32:$F$41,"&gt;=28.6")-COUNTIF($F$10:$F$19,"&gt;38.7")-COUNTIF($F$21:$F$30,"&gt;38.7")-COUNTIF($F$32:$F$41,"&gt;38.7")</f>
        <v>13</v>
      </c>
      <c r="V26" s="32"/>
    </row>
    <row r="27" spans="1:22" x14ac:dyDescent="0.4">
      <c r="A27" s="31">
        <v>17</v>
      </c>
      <c r="B27" s="30">
        <v>7</v>
      </c>
      <c r="C27" s="23">
        <v>-2.8</v>
      </c>
      <c r="D27" s="23">
        <f t="shared" si="3"/>
        <v>9.8000000000000007</v>
      </c>
      <c r="E27" s="29">
        <v>1.8</v>
      </c>
      <c r="F27" s="28">
        <v>39</v>
      </c>
      <c r="G27" s="23">
        <v>0</v>
      </c>
      <c r="H27" s="23">
        <f t="shared" si="4"/>
        <v>40.6</v>
      </c>
      <c r="I27" s="27">
        <v>7.77</v>
      </c>
      <c r="J27" s="23">
        <v>0</v>
      </c>
      <c r="K27" s="23">
        <v>0</v>
      </c>
      <c r="S27" s="32"/>
      <c r="T27" s="47" t="s">
        <v>153</v>
      </c>
      <c r="U27" s="47">
        <f>COUNTIF($F$10:$F$19,"&gt;=19.5")+COUNTIF($F$21:$F$30,"&gt;=19.5")+COUNTIF($F$32:$F$41,"&gt;=19.5")-COUNTIF($F$10:$F$19,"&gt;28.5")-COUNTIF($F$21:$F$30,"&gt;28.5")-COUNTIF($F$32:$F$41,"&gt;28.5")</f>
        <v>8</v>
      </c>
      <c r="V27" s="32"/>
    </row>
    <row r="28" spans="1:22" x14ac:dyDescent="0.4">
      <c r="A28" s="31">
        <v>18</v>
      </c>
      <c r="B28" s="30">
        <v>6.7</v>
      </c>
      <c r="C28" s="23">
        <v>-0.7</v>
      </c>
      <c r="D28" s="23">
        <f t="shared" si="3"/>
        <v>7.4</v>
      </c>
      <c r="E28" s="29">
        <v>2.8</v>
      </c>
      <c r="F28" s="28">
        <v>34</v>
      </c>
      <c r="G28" s="23">
        <v>0</v>
      </c>
      <c r="H28" s="23">
        <f t="shared" si="4"/>
        <v>40.6</v>
      </c>
      <c r="I28" s="27">
        <v>4.82</v>
      </c>
      <c r="J28" s="23">
        <v>0</v>
      </c>
      <c r="K28" s="23">
        <v>0</v>
      </c>
      <c r="S28" s="32"/>
      <c r="T28" s="46" t="s">
        <v>152</v>
      </c>
      <c r="U28" s="46">
        <f>COUNTIF($F$10:$F$19,"&gt;=12")+COUNTIF($F$21:$F$30,"&gt;=12")+COUNTIF($F$32:$F$41,"&gt;=12")-COUNTIF($F$10:$F$19,"&gt;19.4")-COUNTIF($F$21:$F$30,"&gt;19.4")-COUNTIF($F$32:$F$41,"&gt;19.4")</f>
        <v>3</v>
      </c>
      <c r="V28" s="32"/>
    </row>
    <row r="29" spans="1:22" x14ac:dyDescent="0.4">
      <c r="A29" s="31">
        <v>19</v>
      </c>
      <c r="B29" s="30">
        <v>10</v>
      </c>
      <c r="C29" s="23">
        <v>-0.1</v>
      </c>
      <c r="D29" s="23">
        <f t="shared" si="3"/>
        <v>10.1</v>
      </c>
      <c r="E29" s="29">
        <v>4.2</v>
      </c>
      <c r="F29" s="28">
        <v>27</v>
      </c>
      <c r="G29" s="23">
        <v>0</v>
      </c>
      <c r="H29" s="23">
        <f t="shared" si="4"/>
        <v>40.6</v>
      </c>
      <c r="I29" s="27">
        <v>6.67</v>
      </c>
      <c r="J29" s="23">
        <v>0</v>
      </c>
      <c r="K29" s="23">
        <v>0</v>
      </c>
      <c r="S29" s="32"/>
      <c r="T29" s="32" t="s">
        <v>151</v>
      </c>
      <c r="U29" s="32">
        <f>COUNTIF($F$10:$F$19,"&lt;=11.9")+COUNTIF($F$21:$F$30,"&lt;=11.9")+COUNTIF($F$32:$F$41,"&lt;=11.9")</f>
        <v>0</v>
      </c>
      <c r="V29" s="32"/>
    </row>
    <row r="30" spans="1:22" x14ac:dyDescent="0.4">
      <c r="A30" s="31">
        <v>20</v>
      </c>
      <c r="B30" s="30">
        <v>11.7</v>
      </c>
      <c r="C30" s="23">
        <v>1.6</v>
      </c>
      <c r="D30" s="23">
        <f t="shared" si="3"/>
        <v>10.1</v>
      </c>
      <c r="E30" s="29">
        <v>6.4</v>
      </c>
      <c r="F30" s="28">
        <v>27</v>
      </c>
      <c r="G30" s="23">
        <v>0</v>
      </c>
      <c r="H30" s="23">
        <f t="shared" si="4"/>
        <v>40.6</v>
      </c>
      <c r="I30" s="27">
        <v>7.37</v>
      </c>
      <c r="J30" s="23">
        <v>0</v>
      </c>
      <c r="K30" s="23">
        <v>0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5">AVERAGE(B21:B30)</f>
        <v>7.6800000000000015</v>
      </c>
      <c r="C31" s="17">
        <f t="shared" si="5"/>
        <v>-1.2099999999999997</v>
      </c>
      <c r="D31" s="17">
        <f t="shared" si="5"/>
        <v>8.8899999999999988</v>
      </c>
      <c r="E31" s="39">
        <f t="shared" si="5"/>
        <v>2.65</v>
      </c>
      <c r="F31" s="18">
        <f t="shared" si="5"/>
        <v>33.200000000000003</v>
      </c>
      <c r="G31" s="17">
        <f t="shared" si="5"/>
        <v>3.28</v>
      </c>
      <c r="H31" s="17">
        <f>SUM(H30-H19)</f>
        <v>32.800000000000004</v>
      </c>
      <c r="I31" s="16">
        <f>AVERAGE(I21:I30)</f>
        <v>6.956999999999999</v>
      </c>
      <c r="J31" s="17">
        <f>SUM(J21:J30)</f>
        <v>9</v>
      </c>
      <c r="K31" s="17">
        <f>AVERAGE(K21:K30)</f>
        <v>0.9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13.3</v>
      </c>
      <c r="C32" s="23">
        <v>2.9</v>
      </c>
      <c r="D32" s="23">
        <f t="shared" ref="D32:D41" si="6">SUM(B32-C32)</f>
        <v>10.4</v>
      </c>
      <c r="E32" s="29">
        <v>7.1</v>
      </c>
      <c r="F32" s="28">
        <v>27</v>
      </c>
      <c r="G32" s="23">
        <v>2</v>
      </c>
      <c r="H32" s="23">
        <f>H30+G32</f>
        <v>42.6</v>
      </c>
      <c r="I32" s="27">
        <v>6.45</v>
      </c>
      <c r="J32" s="23">
        <v>0</v>
      </c>
      <c r="K32" s="23">
        <v>0</v>
      </c>
      <c r="S32" s="32"/>
      <c r="T32" s="44" t="s">
        <v>149</v>
      </c>
      <c r="U32" s="44">
        <f>COUNTIF(K10:K19,"&gt;0")+COUNTIF(K21:K30,"&gt;0")+COUNTIF(K32:K41,"&gt;0")</f>
        <v>6</v>
      </c>
      <c r="V32" s="32"/>
    </row>
    <row r="33" spans="1:22" x14ac:dyDescent="0.4">
      <c r="A33" s="31">
        <v>22</v>
      </c>
      <c r="B33" s="30">
        <v>13.9</v>
      </c>
      <c r="C33" s="23">
        <v>2.5</v>
      </c>
      <c r="D33" s="23">
        <f t="shared" si="6"/>
        <v>11.4</v>
      </c>
      <c r="E33" s="29">
        <v>8.3000000000000007</v>
      </c>
      <c r="F33" s="28">
        <v>35</v>
      </c>
      <c r="G33" s="23">
        <v>0</v>
      </c>
      <c r="H33" s="23">
        <f t="shared" ref="H33:H41" si="7">H32+G33</f>
        <v>42.6</v>
      </c>
      <c r="I33" s="27">
        <v>8.27</v>
      </c>
      <c r="J33" s="23">
        <v>0</v>
      </c>
      <c r="K33" s="23">
        <v>0</v>
      </c>
      <c r="S33" s="32"/>
      <c r="T33" s="43" t="s">
        <v>148</v>
      </c>
      <c r="U33" s="43">
        <f>COUNTIF(K10:K19,"&gt;=1")+COUNTIF(K21:K30,"&gt;=1")+COUNTIF(K32:K41,"&gt;=1")</f>
        <v>6</v>
      </c>
      <c r="V33" s="32"/>
    </row>
    <row r="34" spans="1:22" x14ac:dyDescent="0.4">
      <c r="A34" s="31">
        <v>23</v>
      </c>
      <c r="B34" s="30">
        <v>15.3</v>
      </c>
      <c r="C34" s="23">
        <v>2.7</v>
      </c>
      <c r="D34" s="23">
        <f t="shared" si="6"/>
        <v>12.600000000000001</v>
      </c>
      <c r="E34" s="29">
        <v>9.1999999999999993</v>
      </c>
      <c r="F34" s="28">
        <v>32</v>
      </c>
      <c r="G34" s="23">
        <v>0</v>
      </c>
      <c r="H34" s="23">
        <f t="shared" si="7"/>
        <v>42.6</v>
      </c>
      <c r="I34" s="27">
        <v>11.7</v>
      </c>
      <c r="J34" s="23">
        <v>0</v>
      </c>
      <c r="K34" s="23">
        <v>0</v>
      </c>
      <c r="S34" s="32"/>
      <c r="T34" s="42" t="s">
        <v>147</v>
      </c>
      <c r="U34" s="42">
        <f>COUNTIF(K10:K19,"&gt;=5")+COUNTIF(K21:K30,"&gt;=5")+COUNTIF(K32:K41,"&gt;=5")</f>
        <v>2</v>
      </c>
      <c r="V34" s="32"/>
    </row>
    <row r="35" spans="1:22" x14ac:dyDescent="0.4">
      <c r="A35" s="31">
        <v>24</v>
      </c>
      <c r="B35" s="30">
        <v>18.2</v>
      </c>
      <c r="C35" s="23">
        <v>4.3</v>
      </c>
      <c r="D35" s="23">
        <f t="shared" si="6"/>
        <v>13.899999999999999</v>
      </c>
      <c r="E35" s="29">
        <v>11.5</v>
      </c>
      <c r="F35" s="28">
        <v>23</v>
      </c>
      <c r="G35" s="23">
        <v>0</v>
      </c>
      <c r="H35" s="23">
        <f t="shared" si="7"/>
        <v>42.6</v>
      </c>
      <c r="I35" s="27">
        <v>11.82</v>
      </c>
      <c r="J35" s="23">
        <v>0</v>
      </c>
      <c r="K35" s="23">
        <v>0</v>
      </c>
      <c r="S35" s="32"/>
      <c r="T35" s="41" t="s">
        <v>146</v>
      </c>
      <c r="U35" s="41">
        <f>COUNTIF(K10:K19,"&gt;=10")+COUNTIF(K21:K30,"&gt;=10")+COUNTIF(K32:K41,"&gt;=10")</f>
        <v>0</v>
      </c>
      <c r="V35" s="32"/>
    </row>
    <row r="36" spans="1:22" x14ac:dyDescent="0.4">
      <c r="A36" s="31">
        <v>25</v>
      </c>
      <c r="B36" s="30">
        <v>15.2</v>
      </c>
      <c r="C36" s="23">
        <v>6.4</v>
      </c>
      <c r="D36" s="23">
        <f t="shared" si="6"/>
        <v>8.7999999999999989</v>
      </c>
      <c r="E36" s="29">
        <v>11.3</v>
      </c>
      <c r="F36" s="28">
        <v>23</v>
      </c>
      <c r="G36" s="23">
        <v>0</v>
      </c>
      <c r="H36" s="23">
        <f t="shared" si="7"/>
        <v>42.6</v>
      </c>
      <c r="I36" s="27">
        <v>5.72</v>
      </c>
      <c r="J36" s="23">
        <v>0</v>
      </c>
      <c r="K36" s="23">
        <v>0</v>
      </c>
      <c r="S36" s="32"/>
      <c r="T36" s="40" t="s">
        <v>145</v>
      </c>
      <c r="U36" s="40">
        <f>COUNTIF(K10:K19,"&gt;=15")+COUNTIF(K21:K30,"&gt;=15")+COUNTIF(K32:K41,"&gt;=15")</f>
        <v>0</v>
      </c>
      <c r="V36" s="32"/>
    </row>
    <row r="37" spans="1:22" x14ac:dyDescent="0.4">
      <c r="A37" s="31">
        <v>26</v>
      </c>
      <c r="B37" s="30">
        <v>14.3</v>
      </c>
      <c r="C37" s="23">
        <v>5.8</v>
      </c>
      <c r="D37" s="23">
        <f t="shared" si="6"/>
        <v>8.5</v>
      </c>
      <c r="E37" s="29">
        <v>9.8000000000000007</v>
      </c>
      <c r="F37" s="28">
        <v>29</v>
      </c>
      <c r="G37" s="23">
        <v>0</v>
      </c>
      <c r="H37" s="23">
        <f t="shared" si="7"/>
        <v>42.6</v>
      </c>
      <c r="I37" s="27">
        <v>8.3699999999999992</v>
      </c>
      <c r="J37" s="23">
        <v>0</v>
      </c>
      <c r="K37" s="23">
        <v>0</v>
      </c>
      <c r="S37" s="32"/>
      <c r="T37" s="38" t="s">
        <v>143</v>
      </c>
      <c r="U37" s="38">
        <f>COUNTIF(K10:K19,"&gt;=20")+COUNTIF(K21:K30,"&gt;=20")+COUNTIF(K32:K41,"&gt;=20")</f>
        <v>0</v>
      </c>
      <c r="V37" s="32"/>
    </row>
    <row r="38" spans="1:22" x14ac:dyDescent="0.4">
      <c r="A38" s="31">
        <v>27</v>
      </c>
      <c r="B38" s="30">
        <v>16.2</v>
      </c>
      <c r="C38" s="23">
        <v>3.2</v>
      </c>
      <c r="D38" s="23">
        <f t="shared" si="6"/>
        <v>13</v>
      </c>
      <c r="E38" s="29">
        <v>9.9</v>
      </c>
      <c r="F38" s="28">
        <v>19</v>
      </c>
      <c r="G38" s="23">
        <v>0</v>
      </c>
      <c r="H38" s="23">
        <f t="shared" si="7"/>
        <v>42.6</v>
      </c>
      <c r="I38" s="27">
        <v>10.130000000000001</v>
      </c>
      <c r="J38" s="23">
        <v>0</v>
      </c>
      <c r="K38" s="23">
        <v>0</v>
      </c>
      <c r="T38" s="37" t="s">
        <v>142</v>
      </c>
      <c r="U38" s="37">
        <f>COUNTIF(K10:K19,"&gt;=30")+COUNTIF(K21:K30,"&gt;=30")+COUNTIF(K32:K41,"&gt;=30")</f>
        <v>0</v>
      </c>
    </row>
    <row r="39" spans="1:22" x14ac:dyDescent="0.4">
      <c r="A39" s="31">
        <v>28</v>
      </c>
      <c r="B39" s="30">
        <v>16.399999999999999</v>
      </c>
      <c r="C39" s="23">
        <v>7.5</v>
      </c>
      <c r="D39" s="23">
        <f t="shared" si="6"/>
        <v>8.8999999999999986</v>
      </c>
      <c r="E39" s="29">
        <v>10.5</v>
      </c>
      <c r="F39" s="28">
        <v>42</v>
      </c>
      <c r="G39" s="23">
        <v>9.1999999999999993</v>
      </c>
      <c r="H39" s="23">
        <f t="shared" si="7"/>
        <v>51.8</v>
      </c>
      <c r="I39" s="27">
        <v>4.7</v>
      </c>
      <c r="J39" s="23">
        <v>0</v>
      </c>
      <c r="K39" s="23">
        <v>0</v>
      </c>
      <c r="T39" s="36" t="s">
        <v>141</v>
      </c>
      <c r="U39" s="36">
        <f>COUNTIF(K10:K19,"&gt;=40")+COUNTIF(K21:K30,"&gt;=40")+COUNTIF(K32:K41,"&gt;=40")</f>
        <v>0</v>
      </c>
    </row>
    <row r="40" spans="1:22" x14ac:dyDescent="0.4">
      <c r="A40" s="31">
        <v>29</v>
      </c>
      <c r="B40" s="30">
        <v>11.8</v>
      </c>
      <c r="C40" s="23">
        <v>5.8</v>
      </c>
      <c r="D40" s="23">
        <f t="shared" si="6"/>
        <v>6.0000000000000009</v>
      </c>
      <c r="E40" s="29">
        <v>8.1999999999999993</v>
      </c>
      <c r="F40" s="28">
        <v>35</v>
      </c>
      <c r="G40" s="23">
        <v>6.4</v>
      </c>
      <c r="H40" s="23">
        <f t="shared" si="7"/>
        <v>58.199999999999996</v>
      </c>
      <c r="I40" s="27">
        <v>1.33</v>
      </c>
      <c r="J40" s="23">
        <v>0</v>
      </c>
      <c r="K40" s="23">
        <v>0</v>
      </c>
      <c r="T40" s="35" t="s">
        <v>140</v>
      </c>
      <c r="U40" s="35">
        <f>COUNTIF(K10:K19,"&gt;=50")+COUNTIF(K21:K30,"&gt;=50")+COUNTIF(K32:K41,"&gt;=50")</f>
        <v>0</v>
      </c>
    </row>
    <row r="41" spans="1:22" x14ac:dyDescent="0.4">
      <c r="A41" s="31">
        <v>30</v>
      </c>
      <c r="B41" s="30">
        <v>10.199999999999999</v>
      </c>
      <c r="C41" s="23">
        <v>5.3</v>
      </c>
      <c r="D41" s="23">
        <f t="shared" si="6"/>
        <v>4.8999999999999995</v>
      </c>
      <c r="E41" s="29">
        <v>6.9</v>
      </c>
      <c r="F41" s="28">
        <v>24</v>
      </c>
      <c r="G41" s="23">
        <v>12.8</v>
      </c>
      <c r="H41" s="23">
        <f t="shared" si="7"/>
        <v>71</v>
      </c>
      <c r="I41" s="27">
        <v>1.82</v>
      </c>
      <c r="J41" s="23">
        <v>0</v>
      </c>
      <c r="K41" s="23">
        <v>0</v>
      </c>
      <c r="T41" s="34" t="s">
        <v>139</v>
      </c>
      <c r="U41" s="34">
        <f>COUNTIF(K10:K19,"&gt;=75")+COUNTIF(K21:K30,"&gt;=75")+COUNTIF(K32:K41,"&gt;=75")</f>
        <v>0</v>
      </c>
    </row>
    <row r="42" spans="1:22" x14ac:dyDescent="0.4">
      <c r="A42" s="20" t="s">
        <v>137</v>
      </c>
      <c r="B42" s="19">
        <f t="shared" ref="B42:G42" si="8">AVERAGE(B32:B41)</f>
        <v>14.48</v>
      </c>
      <c r="C42" s="17">
        <f t="shared" si="8"/>
        <v>4.6399999999999997</v>
      </c>
      <c r="D42" s="17">
        <f t="shared" si="8"/>
        <v>9.84</v>
      </c>
      <c r="E42" s="39">
        <f t="shared" si="8"/>
        <v>9.2700000000000014</v>
      </c>
      <c r="F42" s="18">
        <f t="shared" si="8"/>
        <v>28.9</v>
      </c>
      <c r="G42" s="17">
        <f t="shared" si="8"/>
        <v>3.04</v>
      </c>
      <c r="H42" s="17">
        <f>SUM(H41-H30)</f>
        <v>30.4</v>
      </c>
      <c r="I42" s="16">
        <f>AVERAGE(I32:I41)</f>
        <v>7.0309999999999988</v>
      </c>
      <c r="J42" s="17">
        <f>SUM(J32:J41)</f>
        <v>0</v>
      </c>
      <c r="K42" s="17">
        <f>AVERAGE(K32:K41)</f>
        <v>0</v>
      </c>
      <c r="T42" s="33" t="s">
        <v>138</v>
      </c>
      <c r="U42" s="33">
        <f>COUNTIF(K10:K19,"&gt;=100")+COUNTIF(K21:K30,"&gt;=100")+COUNTIF(K32:K41,"&gt;=100")</f>
        <v>0</v>
      </c>
    </row>
    <row r="43" spans="1:22" x14ac:dyDescent="0.4">
      <c r="A43" s="14" t="s">
        <v>136</v>
      </c>
      <c r="B43" s="13">
        <f t="shared" ref="B43:G43" si="9">AVERAGE(B10:B19,B21:B30,B32:B41)</f>
        <v>10.729999999999997</v>
      </c>
      <c r="C43" s="9">
        <f t="shared" si="9"/>
        <v>1.1533333333333333</v>
      </c>
      <c r="D43" s="9">
        <f t="shared" si="9"/>
        <v>9.5766666666666644</v>
      </c>
      <c r="E43" s="80">
        <f t="shared" si="9"/>
        <v>5.5866666666666669</v>
      </c>
      <c r="F43" s="12">
        <f t="shared" si="9"/>
        <v>31.033333333333335</v>
      </c>
      <c r="G43" s="9">
        <f t="shared" si="9"/>
        <v>2.3666666666666667</v>
      </c>
      <c r="H43" s="11">
        <f>MAX(H10:H19,H21:H30,H32:H41)</f>
        <v>71</v>
      </c>
      <c r="I43" s="79">
        <f>AVERAGE(I10:I19,I21:I30,I32:I41)</f>
        <v>6.9939999999999998</v>
      </c>
      <c r="J43" s="9">
        <f>SUM(J10:J19,J21:J30,J32:J41)</f>
        <v>14</v>
      </c>
      <c r="K43" s="9">
        <f>AVERAGE(K10:K19,K21:K30,K32:K41)</f>
        <v>0.6333333333333333</v>
      </c>
    </row>
  </sheetData>
  <protectedRanges>
    <protectedRange sqref="B21:C30 B32:C41 A3 R16 V17 R7:R9 V8:V9 V12:V13 W1 AM1 BC1 B10:C19 I10:K19 E32:G41 E10:G19 E21:G30 R14 I21:K30 I32:K41" name="Bereich1"/>
    <protectedRange sqref="H10:H19 H21:H30 H32:H41" name="Bereich1_1"/>
    <protectedRange sqref="L1" name="Bereich1_2"/>
    <protectedRange sqref="Q16" name="Bereich1_3"/>
  </protectedRanges>
  <mergeCells count="10">
    <mergeCell ref="AM1:BB1"/>
    <mergeCell ref="W1:AL1"/>
    <mergeCell ref="L1:V1"/>
    <mergeCell ref="G6:H6"/>
    <mergeCell ref="B7:B9"/>
    <mergeCell ref="C7:C9"/>
    <mergeCell ref="B6:E6"/>
    <mergeCell ref="A3:K3"/>
    <mergeCell ref="A1:K1"/>
    <mergeCell ref="J6:K6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3" manualBreakCount="3">
    <brk id="11" max="42" man="1"/>
    <brk id="22" max="42" man="1"/>
    <brk id="38" max="4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A35B-F3D9-4B43-9C79-F55A61CC0304}">
  <dimension ref="A1:BB45"/>
  <sheetViews>
    <sheetView zoomScaleNormal="100" zoomScaleSheetLayoutView="100" workbookViewId="0">
      <selection activeCell="B10" sqref="B10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15" max="15" width="10.8203125" customWidth="1"/>
    <col min="21" max="21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208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1" t="s">
        <v>200</v>
      </c>
      <c r="K6" s="97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45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70"/>
      <c r="L7" s="32" t="s">
        <v>192</v>
      </c>
      <c r="M7" s="89" t="s">
        <v>100</v>
      </c>
      <c r="N7" s="57">
        <f>AVERAGE(B10:B19,B21:B30,B32:B42)</f>
        <v>12.890322580645158</v>
      </c>
      <c r="O7" s="56">
        <f>MAX(B10:B19,B21:B30,B32:B42)</f>
        <v>22.5</v>
      </c>
      <c r="P7" s="36">
        <f>MIN(B10:B19,B21:B30,B32:B42)</f>
        <v>7.1</v>
      </c>
      <c r="Q7" s="32"/>
      <c r="R7" s="34">
        <v>-4.3099999999999996</v>
      </c>
      <c r="S7" s="63" t="s">
        <v>191</v>
      </c>
      <c r="T7" s="34" t="s">
        <v>190</v>
      </c>
      <c r="U7" s="34">
        <f>COUNTIF($C$10:$C$19,"&lt;=-10")+COUNTIF($C$21:$C$30,"&lt;=-10")+COUNTIF($C$32:$C$42,"&lt;=-10")</f>
        <v>0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AVERAGE(C10:C19,C21:C30,C32:C42)</f>
        <v>4.4806451612903233</v>
      </c>
      <c r="O8" s="56">
        <f>MAX(C10:C19,C21:C30,C32:C42)</f>
        <v>9.6999999999999993</v>
      </c>
      <c r="P8" s="36">
        <f>MIN(C10:C19,C21:C30,C32:C42)</f>
        <v>0.4</v>
      </c>
      <c r="Q8" s="32"/>
      <c r="R8" s="34">
        <v>-1.92</v>
      </c>
      <c r="S8" s="63" t="s">
        <v>185</v>
      </c>
      <c r="T8" s="36" t="s">
        <v>184</v>
      </c>
      <c r="U8" s="36">
        <f>COUNTIF($B$10:$B$19,"&lt;=0")+COUNTIF($B$21:$B$30,"&lt;=0")+COUNTIF($B$32:$B$42,"&lt;=0")</f>
        <v>0</v>
      </c>
      <c r="V8" s="34">
        <v>0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AVERAGE(E10:E19,E21:E30,E32:E42)</f>
        <v>8.4225806451612897</v>
      </c>
      <c r="O9" s="56">
        <f>MAX(E10:E19,E21:E30,E32:E42)</f>
        <v>15.5</v>
      </c>
      <c r="P9" s="36">
        <f>MIN(E10:E19,E21:E30,E32:E42)</f>
        <v>2.6</v>
      </c>
      <c r="Q9" s="32"/>
      <c r="R9" s="34">
        <v>-3.28</v>
      </c>
      <c r="S9" s="63" t="s">
        <v>177</v>
      </c>
      <c r="T9" s="37" t="s">
        <v>176</v>
      </c>
      <c r="U9" s="37">
        <f>COUNTIF($C$10:$C$19,"&lt;0")+COUNTIF($C$21:$C$30,"&lt;0")+COUNTIF($C$32:$C$42,"&lt;0")</f>
        <v>0</v>
      </c>
      <c r="V9" s="34">
        <v>-0.9</v>
      </c>
    </row>
    <row r="10" spans="1:54" x14ac:dyDescent="0.4">
      <c r="A10" s="31">
        <v>1</v>
      </c>
      <c r="B10" s="30">
        <v>7.1</v>
      </c>
      <c r="C10" s="23">
        <v>1.8</v>
      </c>
      <c r="D10" s="23">
        <f t="shared" ref="D10:D19" si="0">SUM(B10-C10)</f>
        <v>5.3</v>
      </c>
      <c r="E10" s="29">
        <v>4.9000000000000004</v>
      </c>
      <c r="F10" s="28">
        <v>27</v>
      </c>
      <c r="G10" s="23">
        <v>13</v>
      </c>
      <c r="H10" s="23">
        <f>G10</f>
        <v>13</v>
      </c>
      <c r="I10" s="27">
        <v>0</v>
      </c>
      <c r="J10" s="23">
        <v>0</v>
      </c>
      <c r="K10" s="23">
        <v>0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COUNTIF($B$10:$B$19,"&lt;10")+COUNTIF($B$21:$B$30,"&lt;10")+COUNTIF($B$32:$B$42,"&lt;10")</f>
        <v>9</v>
      </c>
      <c r="V10" s="32"/>
    </row>
    <row r="11" spans="1:54" x14ac:dyDescent="0.4">
      <c r="A11" s="31" t="s">
        <v>238</v>
      </c>
      <c r="B11" s="30">
        <v>8.3000000000000007</v>
      </c>
      <c r="C11" s="23">
        <v>0.4</v>
      </c>
      <c r="D11" s="23">
        <f t="shared" si="0"/>
        <v>7.9</v>
      </c>
      <c r="E11" s="29">
        <v>2.6</v>
      </c>
      <c r="F11" s="28">
        <v>27</v>
      </c>
      <c r="G11" s="23">
        <v>16.8</v>
      </c>
      <c r="H11" s="23">
        <f t="shared" ref="H11:H19" si="1">H10+G11</f>
        <v>29.8</v>
      </c>
      <c r="I11" s="27">
        <v>2.82</v>
      </c>
      <c r="J11" s="23">
        <v>0</v>
      </c>
      <c r="K11" s="23">
        <v>0</v>
      </c>
      <c r="L11" s="32" t="s">
        <v>173</v>
      </c>
      <c r="M11" s="89" t="s">
        <v>102</v>
      </c>
      <c r="N11" s="57">
        <f>AVERAGE(F10:F19,F21:F30,F32:F42)</f>
        <v>36.774193548387096</v>
      </c>
      <c r="O11" s="56">
        <f>MAX(F10:F19,F21:F30,F32:F42)</f>
        <v>56</v>
      </c>
      <c r="P11" s="36">
        <f>MIN(F10:F19,F21:F30,F32:F42)</f>
        <v>19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COUNTIF($B$10:$B$19,"&gt;=20")+COUNTIF($B$21:$B$30,"&gt;=20")+COUNTIF($B$32:$B$42,"&gt;=20")</f>
        <v>2</v>
      </c>
      <c r="V11" s="32"/>
    </row>
    <row r="12" spans="1:54" x14ac:dyDescent="0.4">
      <c r="A12" s="31">
        <v>3</v>
      </c>
      <c r="B12" s="30">
        <v>11.3</v>
      </c>
      <c r="C12" s="23">
        <v>0.4</v>
      </c>
      <c r="D12" s="23">
        <f t="shared" si="0"/>
        <v>10.9</v>
      </c>
      <c r="E12" s="29">
        <v>5.5</v>
      </c>
      <c r="F12" s="28">
        <v>19</v>
      </c>
      <c r="G12" s="23">
        <v>1.8</v>
      </c>
      <c r="H12" s="23">
        <f t="shared" si="1"/>
        <v>31.6</v>
      </c>
      <c r="I12" s="27">
        <v>10.15</v>
      </c>
      <c r="J12" s="23">
        <v>0</v>
      </c>
      <c r="K12" s="23">
        <v>0</v>
      </c>
      <c r="L12" s="32"/>
      <c r="M12" s="32"/>
      <c r="N12" s="57"/>
      <c r="O12" s="56"/>
      <c r="P12" s="36"/>
      <c r="Q12" s="32"/>
      <c r="S12" s="63" t="s">
        <v>170</v>
      </c>
      <c r="T12" s="48" t="s">
        <v>169</v>
      </c>
      <c r="U12" s="48">
        <f>COUNTIF($B$10:$B$19,"&gt;=25")+COUNTIF($B$21:$B$30,"&gt;=25")+COUNTIF($B$32:$B$42,"&gt;=25")</f>
        <v>0</v>
      </c>
      <c r="V12" s="34">
        <v>-1.9</v>
      </c>
    </row>
    <row r="13" spans="1:54" x14ac:dyDescent="0.4">
      <c r="A13" s="31">
        <v>4</v>
      </c>
      <c r="B13" s="30">
        <v>13.2</v>
      </c>
      <c r="C13" s="23">
        <v>4</v>
      </c>
      <c r="D13" s="23">
        <f t="shared" si="0"/>
        <v>9.1999999999999993</v>
      </c>
      <c r="E13" s="29">
        <v>9.1</v>
      </c>
      <c r="F13" s="28">
        <v>56</v>
      </c>
      <c r="G13" s="23">
        <v>0</v>
      </c>
      <c r="H13" s="23">
        <f t="shared" si="1"/>
        <v>31.6</v>
      </c>
      <c r="I13" s="27">
        <v>6.52</v>
      </c>
      <c r="J13" s="23">
        <v>0</v>
      </c>
      <c r="K13" s="23">
        <v>0</v>
      </c>
      <c r="L13" s="32" t="s">
        <v>168</v>
      </c>
      <c r="M13" s="89" t="s">
        <v>104</v>
      </c>
      <c r="N13" s="57">
        <f>AVERAGE(G10:G19,G21:G30,G32:G42)</f>
        <v>6.2838709677419358</v>
      </c>
      <c r="O13" s="56">
        <f>MAX(G10:G19,G21:G30,G32:G42)</f>
        <v>25</v>
      </c>
      <c r="P13" s="36">
        <f>MIN(G10:G19,G21:G30,G32:G42)</f>
        <v>0</v>
      </c>
      <c r="Q13" s="32"/>
      <c r="S13" s="63" t="s">
        <v>167</v>
      </c>
      <c r="T13" s="55" t="s">
        <v>166</v>
      </c>
      <c r="U13" s="55">
        <f>COUNTIF($B$10:$B$19,"&gt;=30")+COUNTIF($B$21:$B$30,"&gt;=30")+COUNTIF($B$32:$B$42,"&gt;=30")</f>
        <v>0</v>
      </c>
      <c r="V13" s="34">
        <v>-0.1</v>
      </c>
    </row>
    <row r="14" spans="1:54" x14ac:dyDescent="0.4">
      <c r="A14" s="31">
        <v>5</v>
      </c>
      <c r="B14" s="30">
        <v>9.6</v>
      </c>
      <c r="C14" s="23">
        <v>3.6</v>
      </c>
      <c r="D14" s="23">
        <f t="shared" si="0"/>
        <v>6</v>
      </c>
      <c r="E14" s="29">
        <v>6.6</v>
      </c>
      <c r="F14" s="28">
        <v>52</v>
      </c>
      <c r="G14" s="23">
        <v>7.8</v>
      </c>
      <c r="H14" s="23">
        <f t="shared" si="1"/>
        <v>39.4</v>
      </c>
      <c r="I14" s="27">
        <v>1.28</v>
      </c>
      <c r="J14" s="23">
        <v>0</v>
      </c>
      <c r="K14" s="23">
        <v>0</v>
      </c>
      <c r="L14" s="32" t="s">
        <v>165</v>
      </c>
      <c r="M14" s="89" t="s">
        <v>104</v>
      </c>
      <c r="N14" s="64"/>
      <c r="O14" s="32"/>
      <c r="P14" s="32"/>
      <c r="Q14" s="40">
        <f>MAX(H10:H19,H21:H30,H32:H42)</f>
        <v>194.8</v>
      </c>
      <c r="R14" s="34">
        <v>48.8</v>
      </c>
      <c r="S14" s="63" t="s">
        <v>164</v>
      </c>
      <c r="T14" s="59" t="s">
        <v>163</v>
      </c>
      <c r="U14" s="59">
        <f>COUNTIF($C$10:$C$19,"&gt;=20")+COUNTIF($C$21:$C$30,"&gt;=20")+COUNTIF($C$32:$C$42,"&gt;=20")</f>
        <v>0</v>
      </c>
      <c r="V14" s="60"/>
    </row>
    <row r="15" spans="1:54" x14ac:dyDescent="0.4">
      <c r="A15" s="31">
        <v>6</v>
      </c>
      <c r="B15" s="30">
        <v>7.7</v>
      </c>
      <c r="C15" s="23">
        <v>3.7</v>
      </c>
      <c r="D15" s="23">
        <f t="shared" si="0"/>
        <v>4</v>
      </c>
      <c r="E15" s="29">
        <v>5.9</v>
      </c>
      <c r="F15" s="28">
        <v>50</v>
      </c>
      <c r="G15" s="23">
        <v>14.8</v>
      </c>
      <c r="H15" s="23">
        <f t="shared" si="1"/>
        <v>54.2</v>
      </c>
      <c r="I15" s="27">
        <v>0.15</v>
      </c>
      <c r="J15" s="23">
        <v>0</v>
      </c>
      <c r="K15" s="23">
        <v>0</v>
      </c>
      <c r="L15" s="32"/>
      <c r="M15" s="32"/>
      <c r="N15" s="57"/>
      <c r="O15" s="56"/>
      <c r="P15" s="36"/>
      <c r="S15" s="32"/>
      <c r="T15" s="32"/>
      <c r="U15" s="32"/>
      <c r="V15" s="60"/>
    </row>
    <row r="16" spans="1:54" x14ac:dyDescent="0.4">
      <c r="A16" s="31">
        <v>7</v>
      </c>
      <c r="B16" s="30">
        <v>9.1</v>
      </c>
      <c r="C16" s="23">
        <v>4</v>
      </c>
      <c r="D16" s="23">
        <f t="shared" si="0"/>
        <v>5.0999999999999996</v>
      </c>
      <c r="E16" s="29">
        <v>6.3</v>
      </c>
      <c r="F16" s="28">
        <v>47</v>
      </c>
      <c r="G16" s="23">
        <v>5.6</v>
      </c>
      <c r="H16" s="23">
        <f t="shared" si="1"/>
        <v>59.800000000000004</v>
      </c>
      <c r="I16" s="27">
        <v>2.8</v>
      </c>
      <c r="J16" s="23">
        <v>0</v>
      </c>
      <c r="K16" s="23">
        <v>0</v>
      </c>
      <c r="L16" s="32" t="s">
        <v>162</v>
      </c>
      <c r="M16" s="89" t="s">
        <v>105</v>
      </c>
      <c r="N16" s="57">
        <f>AVERAGE(I10:I19,I21:I30,I32:I42)</f>
        <v>5.0767741935483865</v>
      </c>
      <c r="O16" s="62">
        <f>MAX(I10:I19,I21:I30,I32:I42)</f>
        <v>12.6</v>
      </c>
      <c r="P16" s="61">
        <f>MIN(I10:I19,I21:I30,I32:I42)</f>
        <v>0</v>
      </c>
      <c r="Q16" s="94">
        <v>157.33000000000001</v>
      </c>
      <c r="R16" s="34">
        <v>-39.67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17.8</v>
      </c>
      <c r="C17" s="23">
        <v>2.2999999999999998</v>
      </c>
      <c r="D17" s="23">
        <f t="shared" si="0"/>
        <v>15.5</v>
      </c>
      <c r="E17" s="29">
        <v>9.8000000000000007</v>
      </c>
      <c r="F17" s="28">
        <v>21</v>
      </c>
      <c r="G17" s="23">
        <v>0</v>
      </c>
      <c r="H17" s="23">
        <f t="shared" si="1"/>
        <v>59.800000000000004</v>
      </c>
      <c r="I17" s="27">
        <v>11.28</v>
      </c>
      <c r="J17" s="23">
        <v>0</v>
      </c>
      <c r="K17" s="23">
        <v>0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COUNTIF(G10:G19,"&gt;=1")+COUNTIF(G21:G30,"&gt;=1")+COUNTIF(G32:G42,"&gt;=1")</f>
        <v>19</v>
      </c>
      <c r="V17" s="34">
        <v>5.4</v>
      </c>
    </row>
    <row r="18" spans="1:22" x14ac:dyDescent="0.4">
      <c r="A18" s="31">
        <v>9</v>
      </c>
      <c r="B18" s="30">
        <v>22.5</v>
      </c>
      <c r="C18" s="23">
        <v>7.3</v>
      </c>
      <c r="D18" s="23">
        <f t="shared" si="0"/>
        <v>15.2</v>
      </c>
      <c r="E18" s="29">
        <v>15.5</v>
      </c>
      <c r="F18" s="28">
        <v>19</v>
      </c>
      <c r="G18" s="23">
        <v>0</v>
      </c>
      <c r="H18" s="23">
        <f t="shared" si="1"/>
        <v>59.800000000000004</v>
      </c>
      <c r="I18" s="27">
        <v>11.82</v>
      </c>
      <c r="J18" s="23">
        <v>0</v>
      </c>
      <c r="K18" s="23">
        <v>0</v>
      </c>
      <c r="L18" s="32" t="s">
        <v>159</v>
      </c>
      <c r="M18" s="89" t="s">
        <v>108</v>
      </c>
      <c r="N18" s="57">
        <f>AVERAGE(J10:J19,J21:J30,J32:J42)</f>
        <v>0</v>
      </c>
      <c r="O18" s="56">
        <f>MAX(J10:J19,J21:J30,J32:J42)</f>
        <v>0</v>
      </c>
      <c r="P18" s="36">
        <f>MIN(J10:J19,J21:J30,J32:J42)</f>
        <v>0</v>
      </c>
      <c r="Q18" s="58">
        <f>SUM(J10:J19,J21:J30,J32:J42)</f>
        <v>0</v>
      </c>
      <c r="R18" s="32"/>
      <c r="S18" s="32"/>
      <c r="T18" s="85" t="s">
        <v>224</v>
      </c>
      <c r="U18" s="85">
        <f>COUNTIF(G10:G19,"&gt;=10")+COUNTIF(G21:G30,"&gt;=10")+COUNTIF(G32:G42,"&gt;=10")</f>
        <v>9</v>
      </c>
      <c r="V18" s="32"/>
    </row>
    <row r="19" spans="1:22" x14ac:dyDescent="0.4">
      <c r="A19" s="31">
        <v>10</v>
      </c>
      <c r="B19" s="30">
        <v>16.399999999999999</v>
      </c>
      <c r="C19" s="23">
        <v>9.6999999999999993</v>
      </c>
      <c r="D19" s="23">
        <f t="shared" si="0"/>
        <v>6.6999999999999993</v>
      </c>
      <c r="E19" s="29">
        <v>13.1</v>
      </c>
      <c r="F19" s="28">
        <v>27</v>
      </c>
      <c r="G19" s="23">
        <v>0</v>
      </c>
      <c r="H19" s="23">
        <f t="shared" si="1"/>
        <v>59.800000000000004</v>
      </c>
      <c r="I19" s="27">
        <v>1.23</v>
      </c>
      <c r="J19" s="23">
        <v>0</v>
      </c>
      <c r="K19" s="23">
        <v>0</v>
      </c>
      <c r="L19" s="32" t="s">
        <v>157</v>
      </c>
      <c r="M19" s="89" t="s">
        <v>108</v>
      </c>
      <c r="N19" s="57">
        <f>AVERAGE(K10:K19,K21:K30,K32:K42)</f>
        <v>0</v>
      </c>
      <c r="O19" s="56">
        <f>MAX(K10:K19,K21:K30,K32:K42)</f>
        <v>0</v>
      </c>
      <c r="P19" s="36">
        <f>MIN(K10:K19,K21:K30,K32:K42)</f>
        <v>0</v>
      </c>
      <c r="S19" s="32"/>
      <c r="T19" s="86" t="s">
        <v>225</v>
      </c>
      <c r="U19" s="86">
        <f>COUNTIF(G10:G19,"&gt;=20")+COUNTIF(G21:G30,"&gt;=20")+COUNTIF(G32:G42,"&gt;=20")</f>
        <v>2</v>
      </c>
      <c r="V19" s="32"/>
    </row>
    <row r="20" spans="1:22" x14ac:dyDescent="0.4">
      <c r="A20" s="54" t="s">
        <v>155</v>
      </c>
      <c r="B20" s="53">
        <f t="shared" ref="B20:G20" si="2">AVERAGE(B10:B19)</f>
        <v>12.3</v>
      </c>
      <c r="C20" s="49">
        <f t="shared" si="2"/>
        <v>3.72</v>
      </c>
      <c r="D20" s="49">
        <f t="shared" si="2"/>
        <v>8.58</v>
      </c>
      <c r="E20" s="52">
        <f t="shared" si="2"/>
        <v>7.93</v>
      </c>
      <c r="F20" s="51">
        <f t="shared" si="2"/>
        <v>34.5</v>
      </c>
      <c r="G20" s="49">
        <f t="shared" si="2"/>
        <v>5.98</v>
      </c>
      <c r="H20" s="49">
        <f>MAX(H10:H19)</f>
        <v>59.800000000000004</v>
      </c>
      <c r="I20" s="50">
        <f>AVERAGE(I10:I19)</f>
        <v>4.8049999999999997</v>
      </c>
      <c r="J20" s="49">
        <f>SUM(J10:J19)</f>
        <v>0</v>
      </c>
      <c r="K20" s="49">
        <f>AVERAGE(K10:K19)</f>
        <v>0</v>
      </c>
      <c r="Q20" s="32"/>
      <c r="R20" s="32"/>
      <c r="S20" s="32"/>
      <c r="T20" s="87" t="s">
        <v>226</v>
      </c>
      <c r="U20" s="87">
        <f>COUNTIF(G10:G19,"&gt;=50")+COUNTIF(G21:G30,"&gt;=50")+COUNTIF(G32:G42,"&gt;=50")</f>
        <v>0</v>
      </c>
      <c r="V20" s="32"/>
    </row>
    <row r="21" spans="1:22" x14ac:dyDescent="0.4">
      <c r="A21" s="31">
        <v>11</v>
      </c>
      <c r="B21" s="30">
        <v>10.199999999999999</v>
      </c>
      <c r="C21" s="23">
        <v>5.8</v>
      </c>
      <c r="D21" s="23">
        <f t="shared" ref="D21:D30" si="3">SUM(B21-C21)</f>
        <v>4.3999999999999995</v>
      </c>
      <c r="E21" s="29">
        <v>8.1999999999999993</v>
      </c>
      <c r="F21" s="28">
        <v>42</v>
      </c>
      <c r="G21" s="23">
        <v>19.600000000000001</v>
      </c>
      <c r="H21" s="23">
        <f>H19+G21</f>
        <v>79.400000000000006</v>
      </c>
      <c r="I21" s="27">
        <v>0</v>
      </c>
      <c r="J21" s="23">
        <v>0</v>
      </c>
      <c r="K21" s="23">
        <v>0</v>
      </c>
      <c r="Q21" s="32"/>
      <c r="R21" s="32"/>
      <c r="S21" s="32"/>
      <c r="V21" s="32"/>
    </row>
    <row r="22" spans="1:22" x14ac:dyDescent="0.4">
      <c r="A22" s="31">
        <v>12</v>
      </c>
      <c r="B22" s="30">
        <v>11.3</v>
      </c>
      <c r="C22" s="23">
        <v>4.4000000000000004</v>
      </c>
      <c r="D22" s="23">
        <f t="shared" si="3"/>
        <v>6.9</v>
      </c>
      <c r="E22" s="29">
        <v>7.1</v>
      </c>
      <c r="F22" s="28">
        <v>27</v>
      </c>
      <c r="G22" s="23">
        <v>3</v>
      </c>
      <c r="H22" s="23">
        <f t="shared" ref="H22:H30" si="4">H21+G22</f>
        <v>82.4</v>
      </c>
      <c r="I22" s="27">
        <v>4.0199999999999996</v>
      </c>
      <c r="J22" s="23">
        <v>0</v>
      </c>
      <c r="K22" s="23">
        <v>0</v>
      </c>
      <c r="Q22" s="32"/>
      <c r="R22" s="32"/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9.4</v>
      </c>
      <c r="C23" s="23">
        <v>4.5999999999999996</v>
      </c>
      <c r="D23" s="23">
        <f t="shared" si="3"/>
        <v>4.8000000000000007</v>
      </c>
      <c r="E23" s="29">
        <v>6.5</v>
      </c>
      <c r="F23" s="28">
        <v>39</v>
      </c>
      <c r="G23" s="23">
        <v>0.6</v>
      </c>
      <c r="H23" s="23">
        <f t="shared" si="4"/>
        <v>83</v>
      </c>
      <c r="I23" s="27">
        <v>3.93</v>
      </c>
      <c r="J23" s="23">
        <v>0</v>
      </c>
      <c r="K23" s="23">
        <v>0</v>
      </c>
      <c r="Q23" s="32"/>
      <c r="R23" s="32"/>
      <c r="S23" s="32"/>
      <c r="T23" s="59" t="s">
        <v>160</v>
      </c>
      <c r="U23" s="59">
        <f>COUNTIF($F$10:$F$19,"&gt;=61.8")+COUNTIF($F$21:$F$30,"&gt;=61.8")+COUNTIF($F$32:$F$42,"&gt;=61.8")</f>
        <v>0</v>
      </c>
      <c r="V23" s="32"/>
    </row>
    <row r="24" spans="1:22" x14ac:dyDescent="0.4">
      <c r="A24" s="31">
        <v>14</v>
      </c>
      <c r="B24" s="30">
        <v>13.4</v>
      </c>
      <c r="C24" s="23">
        <v>2.9</v>
      </c>
      <c r="D24" s="23">
        <f t="shared" si="3"/>
        <v>10.5</v>
      </c>
      <c r="E24" s="29">
        <v>6.5</v>
      </c>
      <c r="F24" s="28">
        <v>40</v>
      </c>
      <c r="G24" s="23">
        <v>8.4</v>
      </c>
      <c r="H24" s="23">
        <f t="shared" si="4"/>
        <v>91.4</v>
      </c>
      <c r="I24" s="27">
        <v>6.43</v>
      </c>
      <c r="J24" s="23">
        <v>0</v>
      </c>
      <c r="K24" s="23">
        <v>0</v>
      </c>
      <c r="Q24" s="32"/>
      <c r="R24" s="32"/>
      <c r="S24" s="32"/>
      <c r="T24" s="56" t="s">
        <v>158</v>
      </c>
      <c r="U24" s="56">
        <f>COUNTIF($F$10:$F$19,"&gt;=49.9")+COUNTIF($F$21:$F$30,"&gt;=49.9")+COUNTIF($F$32:$F$42,"&gt;=49.9")-COUNTIF($F$10:$F$19,"&gt;61.7")-COUNTIF($F$21:$F$30,"&gt;61.7")-COUNTIF($F$32:$F$42,"&gt;61.7")</f>
        <v>6</v>
      </c>
      <c r="V24" s="32"/>
    </row>
    <row r="25" spans="1:22" x14ac:dyDescent="0.4">
      <c r="A25" s="31">
        <v>15</v>
      </c>
      <c r="B25" s="30">
        <v>9.1999999999999993</v>
      </c>
      <c r="C25" s="23">
        <v>2.8</v>
      </c>
      <c r="D25" s="23">
        <f t="shared" si="3"/>
        <v>6.3999999999999995</v>
      </c>
      <c r="E25" s="29">
        <v>5.9</v>
      </c>
      <c r="F25" s="28">
        <v>35</v>
      </c>
      <c r="G25" s="23">
        <v>13.4</v>
      </c>
      <c r="H25" s="23">
        <f t="shared" si="4"/>
        <v>104.80000000000001</v>
      </c>
      <c r="I25" s="27">
        <v>1.1000000000000001</v>
      </c>
      <c r="J25" s="23">
        <v>0</v>
      </c>
      <c r="K25" s="23">
        <v>0</v>
      </c>
      <c r="Q25" s="32"/>
      <c r="R25" s="32"/>
      <c r="S25" s="32"/>
      <c r="T25" s="55" t="s">
        <v>156</v>
      </c>
      <c r="U25" s="55">
        <f>COUNTIF($F$10:$F$19,"&gt;=38.8")+COUNTIF($F$21:$F$30,"&gt;=38.8")+COUNTIF($F$32:$F$42,"&gt;=38.8")-COUNTIF($F$10:$F$19,"&gt;49.8")-COUNTIF($F$21:$F$30,"&gt;49.8")-COUNTIF($F$32:$F$42,"&gt;49.8")</f>
        <v>8</v>
      </c>
      <c r="V25" s="32"/>
    </row>
    <row r="26" spans="1:22" x14ac:dyDescent="0.4">
      <c r="A26" s="31">
        <v>16</v>
      </c>
      <c r="B26" s="30">
        <v>9.6999999999999993</v>
      </c>
      <c r="C26" s="23">
        <v>3.9</v>
      </c>
      <c r="D26" s="23">
        <f t="shared" si="3"/>
        <v>5.7999999999999989</v>
      </c>
      <c r="E26" s="29">
        <v>7.1</v>
      </c>
      <c r="F26" s="28">
        <v>52</v>
      </c>
      <c r="G26" s="23">
        <v>25</v>
      </c>
      <c r="H26" s="23">
        <f t="shared" si="4"/>
        <v>129.80000000000001</v>
      </c>
      <c r="I26" s="27">
        <v>7.0000000000000007E-2</v>
      </c>
      <c r="J26" s="23">
        <v>0</v>
      </c>
      <c r="K26" s="23">
        <v>0</v>
      </c>
      <c r="Q26" s="32"/>
      <c r="R26" s="32"/>
      <c r="S26" s="32"/>
      <c r="T26" s="48" t="s">
        <v>154</v>
      </c>
      <c r="U26" s="48">
        <f>COUNTIF($F$10:$F$19,"&gt;=28.6")+COUNTIF($F$21:$F$30,"&gt;=28.6")+COUNTIF($F$32:$F$42,"&gt;=28.6")-COUNTIF($F$10:$F$19,"&gt;38.7")-COUNTIF($F$21:$F$30,"&gt;38.7")-COUNTIF($F$32:$F$42,"&gt;38.7")</f>
        <v>7</v>
      </c>
      <c r="V26" s="32"/>
    </row>
    <row r="27" spans="1:22" x14ac:dyDescent="0.4">
      <c r="A27" s="31">
        <v>17</v>
      </c>
      <c r="B27" s="30">
        <v>11</v>
      </c>
      <c r="C27" s="23">
        <v>4.8</v>
      </c>
      <c r="D27" s="23">
        <f t="shared" si="3"/>
        <v>6.2</v>
      </c>
      <c r="E27" s="29">
        <v>7.2</v>
      </c>
      <c r="F27" s="28">
        <v>56</v>
      </c>
      <c r="G27" s="23">
        <v>3</v>
      </c>
      <c r="H27" s="23">
        <f t="shared" si="4"/>
        <v>132.80000000000001</v>
      </c>
      <c r="I27" s="27">
        <v>1.8</v>
      </c>
      <c r="J27" s="23">
        <v>0</v>
      </c>
      <c r="K27" s="23">
        <v>0</v>
      </c>
      <c r="Q27" s="32"/>
      <c r="R27" s="32"/>
      <c r="S27" s="32"/>
      <c r="T27" s="47" t="s">
        <v>153</v>
      </c>
      <c r="U27" s="47">
        <f>COUNTIF($F$10:$F$19,"&gt;=19.5")+COUNTIF($F$21:$F$30,"&gt;=19.5")+COUNTIF($F$32:$F$42,"&gt;=19.5")-COUNTIF($F$10:$F$19,"&gt;28.5")-COUNTIF($F$21:$F$30,"&gt;28.5")-COUNTIF($F$32:$F$42,"&gt;28.5")</f>
        <v>8</v>
      </c>
      <c r="V27" s="32"/>
    </row>
    <row r="28" spans="1:22" x14ac:dyDescent="0.4">
      <c r="A28" s="31">
        <v>18</v>
      </c>
      <c r="B28" s="30">
        <v>12.6</v>
      </c>
      <c r="C28" s="23">
        <v>4.7</v>
      </c>
      <c r="D28" s="23">
        <f t="shared" si="3"/>
        <v>7.8999999999999995</v>
      </c>
      <c r="E28" s="29">
        <v>8</v>
      </c>
      <c r="F28" s="28">
        <v>35</v>
      </c>
      <c r="G28" s="23">
        <v>7.4</v>
      </c>
      <c r="H28" s="23">
        <f t="shared" si="4"/>
        <v>140.20000000000002</v>
      </c>
      <c r="I28" s="27">
        <v>6.62</v>
      </c>
      <c r="J28" s="23">
        <v>0</v>
      </c>
      <c r="K28" s="23">
        <v>0</v>
      </c>
      <c r="S28" s="32"/>
      <c r="T28" s="46" t="s">
        <v>152</v>
      </c>
      <c r="U28" s="46">
        <f>COUNTIF($F$10:$F$19,"&gt;=12")+COUNTIF($F$21:$F$30,"&gt;=12")+COUNTIF($F$32:$F$42,"&gt;=12")-COUNTIF($F$10:$F$19,"&gt;19.4")-COUNTIF($F$21:$F$30,"&gt;19.4")-COUNTIF($F$32:$F$42,"&gt;19.4")</f>
        <v>2</v>
      </c>
      <c r="V28" s="32"/>
    </row>
    <row r="29" spans="1:22" x14ac:dyDescent="0.4">
      <c r="A29" s="31">
        <v>19</v>
      </c>
      <c r="B29" s="30">
        <v>9.6</v>
      </c>
      <c r="C29" s="23">
        <v>3.7</v>
      </c>
      <c r="D29" s="23">
        <f t="shared" si="3"/>
        <v>5.8999999999999995</v>
      </c>
      <c r="E29" s="29">
        <v>5.4</v>
      </c>
      <c r="F29" s="28">
        <v>32</v>
      </c>
      <c r="G29" s="23">
        <v>11.2</v>
      </c>
      <c r="H29" s="23">
        <f t="shared" si="4"/>
        <v>151.4</v>
      </c>
      <c r="I29" s="27">
        <v>3.47</v>
      </c>
      <c r="J29" s="23">
        <v>0</v>
      </c>
      <c r="K29" s="23">
        <v>0</v>
      </c>
      <c r="S29" s="32"/>
      <c r="T29" s="32" t="s">
        <v>151</v>
      </c>
      <c r="U29" s="32">
        <f>COUNTIF($F$10:$F$19,"&lt;=11.9")+COUNTIF($F$21:$F$30,"&lt;=11.9")+COUNTIF($F$32:$F$42,"&lt;=11.9")</f>
        <v>0</v>
      </c>
      <c r="V29" s="32"/>
    </row>
    <row r="30" spans="1:22" x14ac:dyDescent="0.4">
      <c r="A30" s="31">
        <v>20</v>
      </c>
      <c r="B30" s="30">
        <v>12.8</v>
      </c>
      <c r="C30" s="23">
        <v>3.4</v>
      </c>
      <c r="D30" s="23">
        <f t="shared" si="3"/>
        <v>9.4</v>
      </c>
      <c r="E30" s="29">
        <v>7.7</v>
      </c>
      <c r="F30" s="28">
        <v>24</v>
      </c>
      <c r="G30" s="23">
        <v>1</v>
      </c>
      <c r="H30" s="23">
        <f t="shared" si="4"/>
        <v>152.4</v>
      </c>
      <c r="I30" s="27">
        <v>6.1</v>
      </c>
      <c r="J30" s="23">
        <v>0</v>
      </c>
      <c r="K30" s="23">
        <v>0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5">AVERAGE(B21:B30)</f>
        <v>10.919999999999998</v>
      </c>
      <c r="C31" s="17">
        <f t="shared" si="5"/>
        <v>4.0999999999999996</v>
      </c>
      <c r="D31" s="17">
        <f t="shared" si="5"/>
        <v>6.82</v>
      </c>
      <c r="E31" s="39">
        <f t="shared" si="5"/>
        <v>6.9599999999999991</v>
      </c>
      <c r="F31" s="18">
        <f t="shared" si="5"/>
        <v>38.200000000000003</v>
      </c>
      <c r="G31" s="17">
        <f t="shared" si="5"/>
        <v>9.2600000000000016</v>
      </c>
      <c r="H31" s="17">
        <f>SUM(H30-H19)</f>
        <v>92.6</v>
      </c>
      <c r="I31" s="16">
        <f>AVERAGE(I21:I30)</f>
        <v>3.3540000000000001</v>
      </c>
      <c r="J31" s="17">
        <f>SUM(J21:J30)</f>
        <v>0</v>
      </c>
      <c r="K31" s="17">
        <f>AVERAGE(K21:K30)</f>
        <v>0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10.7</v>
      </c>
      <c r="C32" s="23">
        <v>4.4000000000000004</v>
      </c>
      <c r="D32" s="23">
        <f t="shared" ref="D32:D42" si="6">SUM(B32-C32)</f>
        <v>6.2999999999999989</v>
      </c>
      <c r="E32" s="29">
        <v>7.9</v>
      </c>
      <c r="F32" s="28">
        <v>40</v>
      </c>
      <c r="G32" s="23">
        <v>22.4</v>
      </c>
      <c r="H32" s="23">
        <f>H30+G32</f>
        <v>174.8</v>
      </c>
      <c r="I32" s="27">
        <v>0.17</v>
      </c>
      <c r="J32" s="23">
        <v>0</v>
      </c>
      <c r="K32" s="23">
        <v>0</v>
      </c>
      <c r="S32" s="32"/>
      <c r="T32" s="44" t="s">
        <v>149</v>
      </c>
      <c r="U32" s="44">
        <f>COUNTIF(K10:K19,"&gt;0")+COUNTIF(K21:K30,"&gt;0")+COUNTIF(K32:K42,"&gt;0")</f>
        <v>0</v>
      </c>
      <c r="V32" s="32"/>
    </row>
    <row r="33" spans="1:22" x14ac:dyDescent="0.4">
      <c r="A33" s="31">
        <v>22</v>
      </c>
      <c r="B33" s="30">
        <v>14.4</v>
      </c>
      <c r="C33" s="23">
        <v>3.7</v>
      </c>
      <c r="D33" s="23">
        <f t="shared" si="6"/>
        <v>10.7</v>
      </c>
      <c r="E33" s="29">
        <v>8.6</v>
      </c>
      <c r="F33" s="28">
        <v>45</v>
      </c>
      <c r="G33" s="23">
        <v>5.2</v>
      </c>
      <c r="H33" s="23">
        <f t="shared" ref="H33:H42" si="7">H32+G33</f>
        <v>180</v>
      </c>
      <c r="I33" s="27">
        <v>7.92</v>
      </c>
      <c r="J33" s="23">
        <v>0</v>
      </c>
      <c r="K33" s="23">
        <v>0</v>
      </c>
      <c r="S33" s="32"/>
      <c r="T33" s="43" t="s">
        <v>148</v>
      </c>
      <c r="U33" s="43">
        <f>COUNTIF(K10:K19,"&gt;=1")+COUNTIF(K21:K30,"&gt;=1")+COUNTIF(K32:K42,"&gt;=1")</f>
        <v>0</v>
      </c>
      <c r="V33" s="32"/>
    </row>
    <row r="34" spans="1:22" x14ac:dyDescent="0.4">
      <c r="A34" s="31">
        <v>23</v>
      </c>
      <c r="B34" s="30">
        <v>13.7</v>
      </c>
      <c r="C34" s="23">
        <v>4.0999999999999996</v>
      </c>
      <c r="D34" s="23">
        <f t="shared" si="6"/>
        <v>9.6</v>
      </c>
      <c r="E34" s="29">
        <v>8.4</v>
      </c>
      <c r="F34" s="28">
        <v>35</v>
      </c>
      <c r="G34" s="23">
        <v>12.4</v>
      </c>
      <c r="H34" s="23">
        <f t="shared" si="7"/>
        <v>192.4</v>
      </c>
      <c r="I34" s="27">
        <v>8.4499999999999993</v>
      </c>
      <c r="J34" s="23">
        <v>0</v>
      </c>
      <c r="K34" s="23">
        <v>0</v>
      </c>
      <c r="S34" s="32"/>
      <c r="T34" s="42" t="s">
        <v>147</v>
      </c>
      <c r="U34" s="42">
        <f>COUNTIF(K10:K19,"&gt;=5")+COUNTIF(K21:K30,"&gt;=5")+COUNTIF(K32:K42,"&gt;=5")</f>
        <v>0</v>
      </c>
      <c r="V34" s="32"/>
    </row>
    <row r="35" spans="1:22" x14ac:dyDescent="0.4">
      <c r="A35" s="31">
        <v>24</v>
      </c>
      <c r="B35" s="30">
        <v>12.8</v>
      </c>
      <c r="C35" s="23">
        <v>5.4</v>
      </c>
      <c r="D35" s="23">
        <f t="shared" si="6"/>
        <v>7.4</v>
      </c>
      <c r="E35" s="29">
        <v>9.1</v>
      </c>
      <c r="F35" s="28">
        <v>55</v>
      </c>
      <c r="G35" s="23">
        <v>0.4</v>
      </c>
      <c r="H35" s="23">
        <f t="shared" si="7"/>
        <v>192.8</v>
      </c>
      <c r="I35" s="27">
        <v>0</v>
      </c>
      <c r="J35" s="23">
        <v>0</v>
      </c>
      <c r="K35" s="23">
        <v>0</v>
      </c>
      <c r="S35" s="32"/>
      <c r="T35" s="41" t="s">
        <v>146</v>
      </c>
      <c r="U35" s="41">
        <f>COUNTIF(K10:K19,"&gt;=10")+COUNTIF(K21:K30,"&gt;=10")+COUNTIF(K32:K42,"&gt;=10")</f>
        <v>0</v>
      </c>
      <c r="V35" s="32"/>
    </row>
    <row r="36" spans="1:22" x14ac:dyDescent="0.4">
      <c r="A36" s="31">
        <v>25</v>
      </c>
      <c r="B36" s="30">
        <v>12.2</v>
      </c>
      <c r="C36" s="23">
        <v>3.6</v>
      </c>
      <c r="D36" s="23">
        <f t="shared" si="6"/>
        <v>8.6</v>
      </c>
      <c r="E36" s="29">
        <v>7.2</v>
      </c>
      <c r="F36" s="28">
        <v>48</v>
      </c>
      <c r="G36" s="23">
        <v>1.6</v>
      </c>
      <c r="H36" s="23">
        <f t="shared" si="7"/>
        <v>194.4</v>
      </c>
      <c r="I36" s="27">
        <v>6.12</v>
      </c>
      <c r="J36" s="23">
        <v>0</v>
      </c>
      <c r="K36" s="23">
        <v>0</v>
      </c>
      <c r="S36" s="32"/>
      <c r="T36" s="40" t="s">
        <v>145</v>
      </c>
      <c r="U36" s="40">
        <f>COUNTIF(K10:K19,"&gt;=15")+COUNTIF(K21:K30,"&gt;=15")+COUNTIF(K32:K42,"&gt;=15")</f>
        <v>0</v>
      </c>
      <c r="V36" s="32"/>
    </row>
    <row r="37" spans="1:22" x14ac:dyDescent="0.4">
      <c r="A37" s="31">
        <v>26</v>
      </c>
      <c r="B37" s="30">
        <v>15.7</v>
      </c>
      <c r="C37" s="23">
        <v>5.3</v>
      </c>
      <c r="D37" s="23">
        <f t="shared" si="6"/>
        <v>10.399999999999999</v>
      </c>
      <c r="E37" s="29">
        <v>10.1</v>
      </c>
      <c r="F37" s="28">
        <v>39</v>
      </c>
      <c r="G37" s="23">
        <v>0</v>
      </c>
      <c r="H37" s="23">
        <f t="shared" si="7"/>
        <v>194.4</v>
      </c>
      <c r="I37" s="27">
        <v>4.22</v>
      </c>
      <c r="J37" s="23">
        <v>0</v>
      </c>
      <c r="K37" s="23">
        <v>0</v>
      </c>
      <c r="S37" s="32"/>
      <c r="T37" s="38" t="s">
        <v>143</v>
      </c>
      <c r="U37" s="38">
        <f>COUNTIF(K10:K19,"&gt;=20")+COUNTIF(K21:K30,"&gt;=20")+COUNTIF(K32:K42,"&gt;=20")</f>
        <v>0</v>
      </c>
      <c r="V37" s="32"/>
    </row>
    <row r="38" spans="1:22" x14ac:dyDescent="0.4">
      <c r="A38" s="31">
        <v>27</v>
      </c>
      <c r="B38" s="30">
        <v>12.8</v>
      </c>
      <c r="C38" s="23">
        <v>6.2</v>
      </c>
      <c r="D38" s="23">
        <f t="shared" si="6"/>
        <v>6.6000000000000005</v>
      </c>
      <c r="E38" s="29">
        <v>9.5</v>
      </c>
      <c r="F38" s="28">
        <v>35</v>
      </c>
      <c r="G38" s="23">
        <v>0.4</v>
      </c>
      <c r="H38" s="23">
        <f t="shared" si="7"/>
        <v>194.8</v>
      </c>
      <c r="I38" s="27">
        <v>3.53</v>
      </c>
      <c r="J38" s="23">
        <v>0</v>
      </c>
      <c r="K38" s="23">
        <v>0</v>
      </c>
      <c r="T38" s="37" t="s">
        <v>142</v>
      </c>
      <c r="U38" s="37">
        <f>COUNTIF(K10:K19,"&gt;=30")+COUNTIF(K21:K30,"&gt;=30")+COUNTIF(K32:K42,"&gt;=30")</f>
        <v>0</v>
      </c>
    </row>
    <row r="39" spans="1:22" x14ac:dyDescent="0.4">
      <c r="A39" s="31">
        <v>28</v>
      </c>
      <c r="B39" s="30">
        <v>18.5</v>
      </c>
      <c r="C39" s="23">
        <v>5.3</v>
      </c>
      <c r="D39" s="23">
        <f t="shared" si="6"/>
        <v>13.2</v>
      </c>
      <c r="E39" s="29">
        <v>12.2</v>
      </c>
      <c r="F39" s="28">
        <v>27</v>
      </c>
      <c r="G39" s="23">
        <v>0</v>
      </c>
      <c r="H39" s="23">
        <f t="shared" si="7"/>
        <v>194.8</v>
      </c>
      <c r="I39" s="27">
        <v>12.57</v>
      </c>
      <c r="J39" s="23">
        <v>0</v>
      </c>
      <c r="K39" s="23">
        <v>0</v>
      </c>
      <c r="T39" s="36" t="s">
        <v>141</v>
      </c>
      <c r="U39" s="36">
        <f>COUNTIF(K10:K19,"&gt;=40")+COUNTIF(K21:K30,"&gt;=40")+COUNTIF(K32:K42,"&gt;=40")</f>
        <v>0</v>
      </c>
    </row>
    <row r="40" spans="1:22" x14ac:dyDescent="0.4">
      <c r="A40" s="31">
        <v>29</v>
      </c>
      <c r="B40" s="30">
        <v>17.3</v>
      </c>
      <c r="C40" s="23">
        <v>9.4</v>
      </c>
      <c r="D40" s="23">
        <f t="shared" si="6"/>
        <v>7.9</v>
      </c>
      <c r="E40" s="29">
        <v>13.1</v>
      </c>
      <c r="F40" s="28">
        <v>34</v>
      </c>
      <c r="G40" s="23">
        <v>0</v>
      </c>
      <c r="H40" s="23">
        <f t="shared" si="7"/>
        <v>194.8</v>
      </c>
      <c r="I40" s="27">
        <v>9.83</v>
      </c>
      <c r="J40" s="23">
        <v>0</v>
      </c>
      <c r="K40" s="23">
        <v>0</v>
      </c>
      <c r="T40" s="35" t="s">
        <v>140</v>
      </c>
      <c r="U40" s="35">
        <f>COUNTIF(K10:K19,"&gt;=50")+COUNTIF(K21:K30,"&gt;=50")+COUNTIF(K32:K42,"&gt;=50")</f>
        <v>0</v>
      </c>
    </row>
    <row r="41" spans="1:22" x14ac:dyDescent="0.4">
      <c r="A41" s="31">
        <v>30</v>
      </c>
      <c r="B41" s="30">
        <v>18.399999999999999</v>
      </c>
      <c r="C41" s="23">
        <v>7</v>
      </c>
      <c r="D41" s="23">
        <f t="shared" si="6"/>
        <v>11.399999999999999</v>
      </c>
      <c r="E41" s="29">
        <v>12.7</v>
      </c>
      <c r="F41" s="28">
        <v>34</v>
      </c>
      <c r="G41" s="23">
        <v>0</v>
      </c>
      <c r="H41" s="23">
        <f t="shared" si="7"/>
        <v>194.8</v>
      </c>
      <c r="I41" s="27">
        <v>12.6</v>
      </c>
      <c r="J41" s="23">
        <v>0</v>
      </c>
      <c r="K41" s="23">
        <v>0</v>
      </c>
      <c r="T41" s="34" t="s">
        <v>139</v>
      </c>
      <c r="U41" s="34">
        <f>COUNTIF(K10:K19,"&gt;=75")+COUNTIF(K21:K30,"&gt;=75")+COUNTIF(K32:K42,"&gt;=75")</f>
        <v>0</v>
      </c>
    </row>
    <row r="42" spans="1:22" x14ac:dyDescent="0.4">
      <c r="A42" s="26">
        <v>31</v>
      </c>
      <c r="B42" s="25">
        <v>20.9</v>
      </c>
      <c r="C42" s="21">
        <v>6.3</v>
      </c>
      <c r="D42" s="21">
        <f t="shared" si="6"/>
        <v>14.599999999999998</v>
      </c>
      <c r="E42" s="21">
        <v>13.4</v>
      </c>
      <c r="F42" s="24">
        <v>21</v>
      </c>
      <c r="G42" s="21">
        <v>0</v>
      </c>
      <c r="H42" s="23">
        <f t="shared" si="7"/>
        <v>194.8</v>
      </c>
      <c r="I42" s="22">
        <v>10.38</v>
      </c>
      <c r="J42" s="21">
        <v>0</v>
      </c>
      <c r="K42" s="21">
        <v>0</v>
      </c>
      <c r="T42" s="33" t="s">
        <v>138</v>
      </c>
      <c r="U42" s="33">
        <f>COUNTIF(K10:K19,"&gt;=100")+COUNTIF(K21:K30,"&gt;=100")+COUNTIF(K32:K42,"&gt;=100")</f>
        <v>0</v>
      </c>
    </row>
    <row r="43" spans="1:22" x14ac:dyDescent="0.4">
      <c r="A43" s="20" t="s">
        <v>137</v>
      </c>
      <c r="B43" s="19">
        <f t="shared" ref="B43:G43" si="8">AVERAGE(B32:B42)</f>
        <v>15.218181818181819</v>
      </c>
      <c r="C43" s="17">
        <f t="shared" si="8"/>
        <v>5.5181818181818176</v>
      </c>
      <c r="D43" s="17">
        <f t="shared" si="8"/>
        <v>9.6999999999999993</v>
      </c>
      <c r="E43" s="17">
        <f t="shared" si="8"/>
        <v>10.200000000000001</v>
      </c>
      <c r="F43" s="18">
        <f t="shared" si="8"/>
        <v>37.545454545454547</v>
      </c>
      <c r="G43" s="17">
        <f t="shared" si="8"/>
        <v>3.8545454545454545</v>
      </c>
      <c r="H43" s="17">
        <f>SUM(H42-H30)</f>
        <v>42.400000000000006</v>
      </c>
      <c r="I43" s="16">
        <f>AVERAGE(I32:I42)</f>
        <v>6.89</v>
      </c>
      <c r="J43" s="15">
        <f>SUM(J32:J42)</f>
        <v>0</v>
      </c>
      <c r="K43" s="15">
        <f>AVERAGE(K32:K42)</f>
        <v>0</v>
      </c>
    </row>
    <row r="44" spans="1:22" x14ac:dyDescent="0.4">
      <c r="A44" s="14" t="s">
        <v>136</v>
      </c>
      <c r="B44" s="13">
        <f t="shared" ref="B44:G44" si="9">AVERAGE(B10:B19,B21:B30,B32:B42)</f>
        <v>12.890322580645158</v>
      </c>
      <c r="C44" s="9">
        <f t="shared" si="9"/>
        <v>4.4806451612903233</v>
      </c>
      <c r="D44" s="9">
        <f t="shared" si="9"/>
        <v>8.4096774193548409</v>
      </c>
      <c r="E44" s="9">
        <f t="shared" si="9"/>
        <v>8.4225806451612897</v>
      </c>
      <c r="F44" s="12">
        <f t="shared" si="9"/>
        <v>36.774193548387096</v>
      </c>
      <c r="G44" s="9">
        <f t="shared" si="9"/>
        <v>6.2838709677419358</v>
      </c>
      <c r="H44" s="11">
        <f>MAX(H10:H19,H21:H30,H32:H42)</f>
        <v>194.8</v>
      </c>
      <c r="I44" s="10">
        <f>AVERAGE(I10:I19,I21:I30,I32:I42)</f>
        <v>5.0767741935483865</v>
      </c>
      <c r="J44" s="9">
        <f>SUM(J10:J19,J21:J30,J32:J42)</f>
        <v>0</v>
      </c>
      <c r="K44" s="9">
        <f>AVERAGE(K10:K19,K21:K30,K32:K42)</f>
        <v>0</v>
      </c>
    </row>
    <row r="45" spans="1:22" x14ac:dyDescent="0.4">
      <c r="A45" t="s">
        <v>239</v>
      </c>
    </row>
  </sheetData>
  <protectedRanges>
    <protectedRange sqref="B21:C30 B32:C42 R16 V17 V8:V9 V12:V13 W1 AM1 BC1 A3 B10:C19 R7:R9 R14 E10:K19 E21:K30 E32:K42" name="Bereich1"/>
    <protectedRange sqref="L1" name="Bereich1_1"/>
    <protectedRange sqref="Q16" name="Bereich1_2"/>
  </protectedRanges>
  <mergeCells count="10">
    <mergeCell ref="B7:B9"/>
    <mergeCell ref="C7:C9"/>
    <mergeCell ref="A1:K1"/>
    <mergeCell ref="L1:V1"/>
    <mergeCell ref="W1:AL1"/>
    <mergeCell ref="AM1:BB1"/>
    <mergeCell ref="A3:K3"/>
    <mergeCell ref="B6:E6"/>
    <mergeCell ref="G6:H6"/>
    <mergeCell ref="J6:K6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4" manualBreakCount="4">
    <brk id="11" max="43" man="1"/>
    <brk id="22" max="43" man="1"/>
    <brk id="38" max="43" man="1"/>
    <brk id="53" max="4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D4D2D-24B3-4C8A-8DD4-2EA839117FFA}">
  <dimension ref="A1:BB43"/>
  <sheetViews>
    <sheetView topLeftCell="A4" zoomScaleNormal="100" zoomScaleSheetLayoutView="100" workbookViewId="0">
      <selection activeCell="G26" sqref="G26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20" max="20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209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1" t="s">
        <v>200</v>
      </c>
      <c r="K6" s="97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32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26"/>
      <c r="L7" s="32" t="s">
        <v>192</v>
      </c>
      <c r="M7" s="89" t="s">
        <v>100</v>
      </c>
      <c r="N7" s="57">
        <f>AVERAGE(B10:B19,B21:B30,B32:B41)</f>
        <v>22.02</v>
      </c>
      <c r="O7" s="56">
        <f>MAX(B10:B19,B21:B30,B32:B41)</f>
        <v>27.6</v>
      </c>
      <c r="P7" s="36">
        <f>MIN(B10:B19,B21:B30,B32:B41)</f>
        <v>15.7</v>
      </c>
      <c r="Q7" s="32"/>
      <c r="R7" s="34">
        <v>1.02</v>
      </c>
      <c r="S7" s="63" t="s">
        <v>191</v>
      </c>
      <c r="T7" s="34" t="s">
        <v>190</v>
      </c>
      <c r="U7" s="34">
        <f>COUNTIF($C$10:$C$19,"&lt;=-10")+COUNTIF($C$21:$C$30,"&lt;=-10")+COUNTIF($C$32:$C$41,"&lt;=-10")</f>
        <v>0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AVERAGE(C10:C19,C21:C30,C32:C41)</f>
        <v>12.236666666666663</v>
      </c>
      <c r="O8" s="56">
        <f>MAX(C10:C19,C21:C30,C32:C41)</f>
        <v>16.8</v>
      </c>
      <c r="P8" s="36">
        <f>MIN(C10:C19,C21:C30,C32:C41)</f>
        <v>8.3000000000000007</v>
      </c>
      <c r="Q8" s="32"/>
      <c r="R8" s="34">
        <v>2.2400000000000002</v>
      </c>
      <c r="S8" s="63" t="s">
        <v>185</v>
      </c>
      <c r="T8" s="36" t="s">
        <v>184</v>
      </c>
      <c r="U8" s="36">
        <f>COUNTIF($B$10:$B$19,"&lt;=0")+COUNTIF($B$21:$B$30,"&lt;=0")+COUNTIF($B$32:$B$41,"&lt;=0")</f>
        <v>0</v>
      </c>
      <c r="V8" s="34">
        <v>0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AVERAGE(E10:E19,E21:E30,E32:E41)</f>
        <v>16.58966666666667</v>
      </c>
      <c r="O9" s="56">
        <f>MAX(E10:E19,E21:E30,E32:E41)</f>
        <v>22.29</v>
      </c>
      <c r="P9" s="36">
        <f>MIN(E10:E19,E21:E30,E32:E41)</f>
        <v>11.99</v>
      </c>
      <c r="Q9" s="32"/>
      <c r="R9" s="34">
        <v>1.19</v>
      </c>
      <c r="S9" s="63" t="s">
        <v>177</v>
      </c>
      <c r="T9" s="37" t="s">
        <v>176</v>
      </c>
      <c r="U9" s="37">
        <f>COUNTIF($C$10:$C$19,"&lt;0")+COUNTIF($C$21:$C$30,"&lt;0")+COUNTIF($C$32:$C$41,"&lt;0")</f>
        <v>0</v>
      </c>
      <c r="V9" s="34">
        <v>0</v>
      </c>
    </row>
    <row r="10" spans="1:54" x14ac:dyDescent="0.4">
      <c r="A10" s="31">
        <v>1</v>
      </c>
      <c r="B10" s="30">
        <v>22.2</v>
      </c>
      <c r="C10" s="23">
        <v>8.9</v>
      </c>
      <c r="D10" s="23">
        <f t="shared" ref="D10:D19" si="0">SUM(B10-C10)</f>
        <v>13.299999999999999</v>
      </c>
      <c r="E10" s="29">
        <v>16.010000000000002</v>
      </c>
      <c r="F10" s="28">
        <v>29</v>
      </c>
      <c r="G10" s="23">
        <v>0</v>
      </c>
      <c r="H10" s="23">
        <f>G10</f>
        <v>0</v>
      </c>
      <c r="I10" s="27">
        <v>12.23</v>
      </c>
      <c r="J10" s="23">
        <v>0</v>
      </c>
      <c r="K10" s="23">
        <v>0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COUNTIF($B$10:$B$19,"&lt;10")+COUNTIF($B$21:$B$30,"&lt;10")+COUNTIF($B$32:$B$41,"&lt;10")</f>
        <v>0</v>
      </c>
      <c r="V10" s="32"/>
    </row>
    <row r="11" spans="1:54" x14ac:dyDescent="0.4">
      <c r="A11" s="31">
        <v>2</v>
      </c>
      <c r="B11" s="30">
        <v>20.8</v>
      </c>
      <c r="C11" s="23">
        <v>12.6</v>
      </c>
      <c r="D11" s="23">
        <f t="shared" si="0"/>
        <v>8.2000000000000011</v>
      </c>
      <c r="E11" s="29">
        <v>15.94</v>
      </c>
      <c r="F11" s="28">
        <v>27</v>
      </c>
      <c r="G11" s="23">
        <v>1.6</v>
      </c>
      <c r="H11" s="23">
        <f t="shared" ref="H11:H19" si="1">H10+G11</f>
        <v>1.6</v>
      </c>
      <c r="I11" s="27">
        <v>5.67</v>
      </c>
      <c r="J11" s="23">
        <v>0</v>
      </c>
      <c r="K11" s="23">
        <v>0</v>
      </c>
      <c r="L11" s="32" t="s">
        <v>173</v>
      </c>
      <c r="M11" s="89" t="s">
        <v>102</v>
      </c>
      <c r="N11" s="57">
        <f>AVERAGE(F10:F19,F21:F30,F32:F41)</f>
        <v>29.233333333333334</v>
      </c>
      <c r="O11" s="56">
        <f>MAX(F10:F19,F21:F30,F32:F41)</f>
        <v>72</v>
      </c>
      <c r="P11" s="36">
        <f>MIN(F10:F19,F21:F30,F32:F41)</f>
        <v>16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COUNTIF($B$10:$B$19,"&gt;=20")+COUNTIF($B$21:$B$30,"&gt;=20")+COUNTIF($B$32:$B$41,"&gt;=20")</f>
        <v>19</v>
      </c>
      <c r="V11" s="32"/>
    </row>
    <row r="12" spans="1:54" x14ac:dyDescent="0.4">
      <c r="A12" s="31">
        <v>3</v>
      </c>
      <c r="B12" s="30">
        <v>23.4</v>
      </c>
      <c r="C12" s="23">
        <v>12</v>
      </c>
      <c r="D12" s="23">
        <f t="shared" si="0"/>
        <v>11.399999999999999</v>
      </c>
      <c r="E12" s="29">
        <v>16.940000000000001</v>
      </c>
      <c r="F12" s="28">
        <v>21</v>
      </c>
      <c r="G12" s="23">
        <v>0.8</v>
      </c>
      <c r="H12" s="23">
        <f t="shared" si="1"/>
        <v>2.4000000000000004</v>
      </c>
      <c r="I12" s="27">
        <v>6.8</v>
      </c>
      <c r="J12" s="23">
        <v>0</v>
      </c>
      <c r="K12" s="23">
        <v>0</v>
      </c>
      <c r="L12" s="32"/>
      <c r="M12" s="32"/>
      <c r="N12" s="57"/>
      <c r="O12" s="56"/>
      <c r="P12" s="36"/>
      <c r="Q12" s="32"/>
      <c r="R12" s="32"/>
      <c r="S12" s="63" t="s">
        <v>170</v>
      </c>
      <c r="T12" s="48" t="s">
        <v>169</v>
      </c>
      <c r="U12" s="48">
        <f>COUNTIF($B$10:$B$19,"&gt;=25")+COUNTIF($B$21:$B$30,"&gt;=25")+COUNTIF($B$32:$B$41,"&gt;=25")</f>
        <v>8</v>
      </c>
      <c r="V12" s="34">
        <v>0.7</v>
      </c>
    </row>
    <row r="13" spans="1:54" x14ac:dyDescent="0.4">
      <c r="A13" s="31">
        <v>4</v>
      </c>
      <c r="B13" s="30">
        <v>22.6</v>
      </c>
      <c r="C13" s="23">
        <v>12.8</v>
      </c>
      <c r="D13" s="23">
        <f t="shared" si="0"/>
        <v>9.8000000000000007</v>
      </c>
      <c r="E13" s="29">
        <v>16.87</v>
      </c>
      <c r="F13" s="28">
        <v>24</v>
      </c>
      <c r="G13" s="23">
        <v>19.2</v>
      </c>
      <c r="H13" s="23">
        <f t="shared" si="1"/>
        <v>21.6</v>
      </c>
      <c r="I13" s="27">
        <v>6.65</v>
      </c>
      <c r="J13" s="23">
        <v>0</v>
      </c>
      <c r="K13" s="23">
        <v>0</v>
      </c>
      <c r="L13" s="32" t="s">
        <v>168</v>
      </c>
      <c r="M13" s="89" t="s">
        <v>104</v>
      </c>
      <c r="N13" s="57">
        <f>AVERAGE(G10:G19,G21:G30,G32:G41)</f>
        <v>8.0533333333333328</v>
      </c>
      <c r="O13" s="56">
        <f>MAX(G10:G19,G21:G30,G32:G41)</f>
        <v>49.8</v>
      </c>
      <c r="P13" s="36">
        <f>MIN(G10:G19,G21:G30,G32:G41)</f>
        <v>0</v>
      </c>
      <c r="Q13" s="32"/>
      <c r="S13" s="63" t="s">
        <v>167</v>
      </c>
      <c r="T13" s="55" t="s">
        <v>166</v>
      </c>
      <c r="U13" s="55">
        <f>COUNTIF($B$10:$B$19,"&gt;=30")+COUNTIF($B$21:$B$30,"&gt;=30")+COUNTIF($B$32:$B$41,"&gt;=30")</f>
        <v>0</v>
      </c>
      <c r="V13" s="34">
        <v>-0.7</v>
      </c>
    </row>
    <row r="14" spans="1:54" x14ac:dyDescent="0.4">
      <c r="A14" s="31">
        <v>5</v>
      </c>
      <c r="B14" s="30">
        <v>16.3</v>
      </c>
      <c r="C14" s="23">
        <v>11.5</v>
      </c>
      <c r="D14" s="23">
        <f t="shared" si="0"/>
        <v>4.8000000000000007</v>
      </c>
      <c r="E14" s="29">
        <v>12.9</v>
      </c>
      <c r="F14" s="28">
        <v>24</v>
      </c>
      <c r="G14" s="23">
        <v>9</v>
      </c>
      <c r="H14" s="23">
        <f t="shared" si="1"/>
        <v>30.6</v>
      </c>
      <c r="I14" s="27">
        <v>3.05</v>
      </c>
      <c r="J14" s="23">
        <v>0</v>
      </c>
      <c r="K14" s="23">
        <v>0</v>
      </c>
      <c r="L14" s="32" t="s">
        <v>165</v>
      </c>
      <c r="M14" s="89" t="s">
        <v>104</v>
      </c>
      <c r="N14" s="64"/>
      <c r="O14" s="32"/>
      <c r="P14" s="32"/>
      <c r="Q14" s="40">
        <f>MAX(H10:H19,H21:H30,H32:H41)</f>
        <v>241.59999999999997</v>
      </c>
      <c r="R14" s="34">
        <v>91.6</v>
      </c>
      <c r="S14" s="63" t="s">
        <v>164</v>
      </c>
      <c r="T14" s="59" t="s">
        <v>163</v>
      </c>
      <c r="U14" s="59">
        <f>COUNTIF($C$10:$C$19,"&gt;=20")+COUNTIF($C$21:$C$30,"&gt;=20")+COUNTIF($C$32:$C$41,"&gt;=20")</f>
        <v>0</v>
      </c>
      <c r="V14" s="60"/>
    </row>
    <row r="15" spans="1:54" x14ac:dyDescent="0.4">
      <c r="A15" s="31">
        <v>6</v>
      </c>
      <c r="B15" s="30">
        <v>17.3</v>
      </c>
      <c r="C15" s="23">
        <v>10.9</v>
      </c>
      <c r="D15" s="23">
        <f t="shared" si="0"/>
        <v>6.4</v>
      </c>
      <c r="E15" s="29">
        <v>13.32</v>
      </c>
      <c r="F15" s="28">
        <v>31</v>
      </c>
      <c r="G15" s="23">
        <v>3.4</v>
      </c>
      <c r="H15" s="23">
        <f t="shared" si="1"/>
        <v>34</v>
      </c>
      <c r="I15" s="27">
        <v>2.35</v>
      </c>
      <c r="J15" s="23">
        <v>0</v>
      </c>
      <c r="K15" s="23">
        <v>0</v>
      </c>
      <c r="L15" s="32"/>
      <c r="M15" s="32"/>
      <c r="N15" s="57"/>
      <c r="O15" s="56"/>
      <c r="P15" s="36"/>
      <c r="Q15" s="32"/>
      <c r="R15" s="32"/>
      <c r="S15" s="32"/>
      <c r="T15" s="32"/>
      <c r="U15" s="32"/>
      <c r="V15" s="60"/>
    </row>
    <row r="16" spans="1:54" x14ac:dyDescent="0.4">
      <c r="A16" s="31">
        <v>7</v>
      </c>
      <c r="B16" s="30">
        <v>17.7</v>
      </c>
      <c r="C16" s="23">
        <v>12.1</v>
      </c>
      <c r="D16" s="23">
        <f t="shared" si="0"/>
        <v>5.6</v>
      </c>
      <c r="E16" s="29">
        <v>13.76</v>
      </c>
      <c r="F16" s="28">
        <v>26</v>
      </c>
      <c r="G16" s="23">
        <v>6.6</v>
      </c>
      <c r="H16" s="23">
        <f t="shared" si="1"/>
        <v>40.6</v>
      </c>
      <c r="I16" s="27">
        <v>3.37</v>
      </c>
      <c r="J16" s="23">
        <v>0</v>
      </c>
      <c r="K16" s="23">
        <v>0</v>
      </c>
      <c r="L16" s="32" t="s">
        <v>162</v>
      </c>
      <c r="M16" s="89" t="s">
        <v>105</v>
      </c>
      <c r="N16" s="57">
        <f>AVERAGE(I10:I19,I21:I30,I32:I41)</f>
        <v>7.371666666666667</v>
      </c>
      <c r="O16" s="62">
        <f>MAX(I10:I19,I21:I30,I32:I41)</f>
        <v>12.7</v>
      </c>
      <c r="P16" s="61">
        <f>MIN(I10:I19,I21:I30,I32:I41)</f>
        <v>0.98</v>
      </c>
      <c r="Q16" s="94">
        <v>221.17</v>
      </c>
      <c r="R16" s="34">
        <v>-1.87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18.399999999999999</v>
      </c>
      <c r="C17" s="23">
        <v>11.8</v>
      </c>
      <c r="D17" s="23">
        <f t="shared" si="0"/>
        <v>6.5999999999999979</v>
      </c>
      <c r="E17" s="29">
        <v>13.79</v>
      </c>
      <c r="F17" s="28">
        <v>16</v>
      </c>
      <c r="G17" s="23">
        <v>3.8</v>
      </c>
      <c r="H17" s="23">
        <f t="shared" si="1"/>
        <v>44.4</v>
      </c>
      <c r="I17" s="27">
        <v>0.98</v>
      </c>
      <c r="J17" s="23">
        <v>0</v>
      </c>
      <c r="K17" s="23">
        <v>0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COUNTIF(G10:G19,"&gt;=1")+COUNTIF(G21:G30,"&gt;=1")+COUNTIF(G32:G41,"&gt;=1")</f>
        <v>18</v>
      </c>
      <c r="V17" s="34">
        <v>5.2</v>
      </c>
    </row>
    <row r="18" spans="1:22" x14ac:dyDescent="0.4">
      <c r="A18" s="31">
        <v>9</v>
      </c>
      <c r="B18" s="30">
        <v>19.399999999999999</v>
      </c>
      <c r="C18" s="23">
        <v>11.7</v>
      </c>
      <c r="D18" s="23">
        <f t="shared" si="0"/>
        <v>7.6999999999999993</v>
      </c>
      <c r="E18" s="29">
        <v>14.24</v>
      </c>
      <c r="F18" s="28">
        <v>19</v>
      </c>
      <c r="G18" s="23">
        <v>6.8</v>
      </c>
      <c r="H18" s="23">
        <f t="shared" si="1"/>
        <v>51.199999999999996</v>
      </c>
      <c r="I18" s="27">
        <v>1.52</v>
      </c>
      <c r="J18" s="23">
        <v>0</v>
      </c>
      <c r="K18" s="23">
        <v>0</v>
      </c>
      <c r="L18" s="32" t="s">
        <v>159</v>
      </c>
      <c r="M18" s="89" t="s">
        <v>108</v>
      </c>
      <c r="N18" s="57">
        <f>AVERAGE(J10:J19,J21:J30,J32:J41)</f>
        <v>0</v>
      </c>
      <c r="O18" s="56">
        <f>MAX(J10:J19,J21:J30,J32:J41)</f>
        <v>0</v>
      </c>
      <c r="P18" s="36">
        <f>MIN(J10:J19,J21:J30,J32:J41)</f>
        <v>0</v>
      </c>
      <c r="Q18" s="58">
        <f>SUM(J10:J19,J21:J30,J32:J41)</f>
        <v>0</v>
      </c>
      <c r="R18" s="32"/>
      <c r="S18" s="32"/>
      <c r="T18" s="85" t="s">
        <v>224</v>
      </c>
      <c r="U18" s="85">
        <f>COUNTIF(G10:G19,"&gt;=10")+COUNTIF(G21:G30,"&gt;=10")+COUNTIF(G32:G41,"&gt;=10")</f>
        <v>9</v>
      </c>
      <c r="V18" s="32"/>
    </row>
    <row r="19" spans="1:22" x14ac:dyDescent="0.4">
      <c r="A19" s="31">
        <v>10</v>
      </c>
      <c r="B19" s="30">
        <v>22.7</v>
      </c>
      <c r="C19" s="23">
        <v>9.6999999999999993</v>
      </c>
      <c r="D19" s="23">
        <f t="shared" si="0"/>
        <v>13</v>
      </c>
      <c r="E19" s="29">
        <v>16.260000000000002</v>
      </c>
      <c r="F19" s="28">
        <v>27</v>
      </c>
      <c r="G19" s="23">
        <v>0.2</v>
      </c>
      <c r="H19" s="23">
        <f t="shared" si="1"/>
        <v>51.4</v>
      </c>
      <c r="I19" s="27">
        <v>11.4</v>
      </c>
      <c r="J19" s="23">
        <v>0</v>
      </c>
      <c r="K19" s="23">
        <v>0</v>
      </c>
      <c r="L19" s="32" t="s">
        <v>157</v>
      </c>
      <c r="M19" s="89" t="s">
        <v>108</v>
      </c>
      <c r="N19" s="57">
        <f>AVERAGE(K10:K19,K21:K30,K32:K41)</f>
        <v>0</v>
      </c>
      <c r="O19" s="56">
        <f>MAX(K10:K19,K21:K30,K32:K41)</f>
        <v>0</v>
      </c>
      <c r="P19" s="36">
        <f>MIN(K10:K19,K21:K30,K32:K41)</f>
        <v>0</v>
      </c>
      <c r="S19" s="32"/>
      <c r="T19" s="86" t="s">
        <v>225</v>
      </c>
      <c r="U19" s="86">
        <f>COUNTIF(G10:G19,"&gt;=20")+COUNTIF(G21:G30,"&gt;=20")+COUNTIF(G32:G41,"&gt;=20")</f>
        <v>5</v>
      </c>
      <c r="V19" s="32"/>
    </row>
    <row r="20" spans="1:22" x14ac:dyDescent="0.4">
      <c r="A20" s="54" t="s">
        <v>155</v>
      </c>
      <c r="B20" s="53">
        <f t="shared" ref="B20:G20" si="2">AVERAGE(B10:B19)</f>
        <v>20.079999999999998</v>
      </c>
      <c r="C20" s="49">
        <f t="shared" si="2"/>
        <v>11.4</v>
      </c>
      <c r="D20" s="49">
        <f t="shared" si="2"/>
        <v>8.68</v>
      </c>
      <c r="E20" s="52">
        <f t="shared" si="2"/>
        <v>15.003000000000004</v>
      </c>
      <c r="F20" s="51">
        <f t="shared" si="2"/>
        <v>24.4</v>
      </c>
      <c r="G20" s="49">
        <f t="shared" si="2"/>
        <v>5.14</v>
      </c>
      <c r="H20" s="49">
        <f>MAX(H10:H19)</f>
        <v>51.4</v>
      </c>
      <c r="I20" s="50">
        <f>AVERAGE(I10:I19)</f>
        <v>5.4019999999999992</v>
      </c>
      <c r="J20" s="49">
        <f>SUM(J10:J19)</f>
        <v>0</v>
      </c>
      <c r="K20" s="49">
        <f>AVERAGE(K10:K19)</f>
        <v>0</v>
      </c>
      <c r="S20" s="32"/>
      <c r="T20" s="87" t="s">
        <v>226</v>
      </c>
      <c r="U20" s="87">
        <f>COUNTIF(G10:G19,"&gt;=50")+COUNTIF(G21:G30,"&gt;=50")+COUNTIF(G32:G41,"&gt;=50")</f>
        <v>0</v>
      </c>
      <c r="V20" s="32"/>
    </row>
    <row r="21" spans="1:22" x14ac:dyDescent="0.4">
      <c r="A21" s="31">
        <v>11</v>
      </c>
      <c r="B21" s="30">
        <v>23.4</v>
      </c>
      <c r="C21" s="23">
        <v>11.6</v>
      </c>
      <c r="D21" s="23">
        <f t="shared" ref="D21:D30" si="3">SUM(B21-C21)</f>
        <v>11.799999999999999</v>
      </c>
      <c r="E21" s="29">
        <v>17.66</v>
      </c>
      <c r="F21" s="28">
        <v>29</v>
      </c>
      <c r="G21" s="23">
        <v>0</v>
      </c>
      <c r="H21" s="23">
        <f>H19+G21</f>
        <v>51.4</v>
      </c>
      <c r="I21" s="27">
        <v>11.35</v>
      </c>
      <c r="J21" s="23">
        <v>0</v>
      </c>
      <c r="K21" s="23">
        <v>0</v>
      </c>
      <c r="S21" s="32"/>
      <c r="V21" s="32"/>
    </row>
    <row r="22" spans="1:22" x14ac:dyDescent="0.4">
      <c r="A22" s="31">
        <v>12</v>
      </c>
      <c r="B22" s="30">
        <v>24.8</v>
      </c>
      <c r="C22" s="23">
        <v>13.1</v>
      </c>
      <c r="D22" s="23">
        <f t="shared" si="3"/>
        <v>11.700000000000001</v>
      </c>
      <c r="E22" s="29">
        <v>18.95</v>
      </c>
      <c r="F22" s="28">
        <v>19</v>
      </c>
      <c r="G22" s="23">
        <v>0</v>
      </c>
      <c r="H22" s="23">
        <f t="shared" ref="H22:H30" si="4">H21+G22</f>
        <v>51.4</v>
      </c>
      <c r="I22" s="27">
        <v>11.83</v>
      </c>
      <c r="J22" s="23">
        <v>0</v>
      </c>
      <c r="K22" s="23">
        <v>0</v>
      </c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23.1</v>
      </c>
      <c r="C23" s="23">
        <v>13.8</v>
      </c>
      <c r="D23" s="23">
        <f t="shared" si="3"/>
        <v>9.3000000000000007</v>
      </c>
      <c r="E23" s="29">
        <v>18.600000000000001</v>
      </c>
      <c r="F23" s="28">
        <v>34</v>
      </c>
      <c r="G23" s="23">
        <v>0</v>
      </c>
      <c r="H23" s="23">
        <f t="shared" si="4"/>
        <v>51.4</v>
      </c>
      <c r="I23" s="27">
        <v>12.13</v>
      </c>
      <c r="J23" s="23">
        <v>0</v>
      </c>
      <c r="K23" s="23">
        <v>0</v>
      </c>
      <c r="S23" s="32"/>
      <c r="T23" s="59" t="s">
        <v>160</v>
      </c>
      <c r="U23" s="59">
        <f>COUNTIF($F$10:$F$19,"&gt;=61.8")+COUNTIF($F$21:$F$30,"&gt;=61.8")+COUNTIF($F$32:$F$41,"&gt;=61.8")</f>
        <v>2</v>
      </c>
      <c r="V23" s="32"/>
    </row>
    <row r="24" spans="1:22" x14ac:dyDescent="0.4">
      <c r="A24" s="31">
        <v>14</v>
      </c>
      <c r="B24" s="30">
        <v>25.5</v>
      </c>
      <c r="C24" s="23">
        <v>11.9</v>
      </c>
      <c r="D24" s="23">
        <f t="shared" si="3"/>
        <v>13.6</v>
      </c>
      <c r="E24" s="29">
        <v>19.16</v>
      </c>
      <c r="F24" s="28">
        <v>26</v>
      </c>
      <c r="G24" s="23">
        <v>0</v>
      </c>
      <c r="H24" s="23">
        <f t="shared" si="4"/>
        <v>51.4</v>
      </c>
      <c r="I24" s="27">
        <v>12.7</v>
      </c>
      <c r="J24" s="23">
        <v>0</v>
      </c>
      <c r="K24" s="23">
        <v>0</v>
      </c>
      <c r="S24" s="32"/>
      <c r="T24" s="56" t="s">
        <v>158</v>
      </c>
      <c r="U24" s="56">
        <f>COUNTIF($F$10:$F$19,"&gt;=49.9")+COUNTIF($F$21:$F$30,"&gt;=49.9")+COUNTIF($F$32:$F$41,"&gt;=49.9")-COUNTIF($F$10:$F$19,"&gt;61.7")-COUNTIF($F$21:$F$30,"&gt;61.7")-COUNTIF($F$32:$F$41,"&gt;61.7")</f>
        <v>1</v>
      </c>
      <c r="V24" s="32"/>
    </row>
    <row r="25" spans="1:22" x14ac:dyDescent="0.4">
      <c r="A25" s="31">
        <v>15</v>
      </c>
      <c r="B25" s="30">
        <v>26.6</v>
      </c>
      <c r="C25" s="23">
        <v>14.2</v>
      </c>
      <c r="D25" s="23">
        <f t="shared" si="3"/>
        <v>12.400000000000002</v>
      </c>
      <c r="E25" s="29">
        <v>20.59</v>
      </c>
      <c r="F25" s="28">
        <v>23</v>
      </c>
      <c r="G25" s="23">
        <v>0</v>
      </c>
      <c r="H25" s="23">
        <f t="shared" si="4"/>
        <v>51.4</v>
      </c>
      <c r="I25" s="27">
        <v>12.7</v>
      </c>
      <c r="J25" s="23">
        <v>0</v>
      </c>
      <c r="K25" s="23">
        <v>0</v>
      </c>
      <c r="S25" s="32"/>
      <c r="T25" s="55" t="s">
        <v>156</v>
      </c>
      <c r="U25" s="55">
        <f>COUNTIF($F$10:$F$19,"&gt;=38.8")+COUNTIF($F$21:$F$30,"&gt;=38.8")+COUNTIF($F$32:$F$41,"&gt;=38.8")-COUNTIF($F$10:$F$19,"&gt;49.8")-COUNTIF($F$21:$F$30,"&gt;49.8")-COUNTIF($F$32:$F$41,"&gt;49.8")</f>
        <v>1</v>
      </c>
      <c r="V25" s="32"/>
    </row>
    <row r="26" spans="1:22" x14ac:dyDescent="0.4">
      <c r="A26" s="31">
        <v>16</v>
      </c>
      <c r="B26" s="30">
        <v>26.9</v>
      </c>
      <c r="C26" s="23">
        <v>15.7</v>
      </c>
      <c r="D26" s="23">
        <f t="shared" si="3"/>
        <v>11.2</v>
      </c>
      <c r="E26" s="29">
        <v>21.33</v>
      </c>
      <c r="F26" s="28">
        <v>19</v>
      </c>
      <c r="G26" s="23">
        <v>0</v>
      </c>
      <c r="H26" s="23">
        <f t="shared" si="4"/>
        <v>51.4</v>
      </c>
      <c r="I26" s="27">
        <v>12.5</v>
      </c>
      <c r="J26" s="23">
        <v>0</v>
      </c>
      <c r="K26" s="23">
        <v>0</v>
      </c>
      <c r="S26" s="32"/>
      <c r="T26" s="48" t="s">
        <v>154</v>
      </c>
      <c r="U26" s="48">
        <f>COUNTIF($F$10:$F$19,"&gt;=28.6")+COUNTIF($F$21:$F$30,"&gt;=28.6")+COUNTIF($F$32:$F$41,"&gt;=28.6")-COUNTIF($F$10:$F$19,"&gt;38.7")-COUNTIF($F$21:$F$30,"&gt;38.7")-COUNTIF($F$32:$F$41,"&gt;38.7")</f>
        <v>7</v>
      </c>
      <c r="V26" s="32"/>
    </row>
    <row r="27" spans="1:22" x14ac:dyDescent="0.4">
      <c r="A27" s="31">
        <v>17</v>
      </c>
      <c r="B27" s="30">
        <v>27.5</v>
      </c>
      <c r="C27" s="23">
        <v>16.8</v>
      </c>
      <c r="D27" s="23">
        <f t="shared" si="3"/>
        <v>10.7</v>
      </c>
      <c r="E27" s="29">
        <v>22.29</v>
      </c>
      <c r="F27" s="28">
        <v>34</v>
      </c>
      <c r="G27" s="23">
        <v>0</v>
      </c>
      <c r="H27" s="23">
        <f t="shared" si="4"/>
        <v>51.4</v>
      </c>
      <c r="I27" s="27">
        <v>11.18</v>
      </c>
      <c r="J27" s="23">
        <v>0</v>
      </c>
      <c r="K27" s="23">
        <v>0</v>
      </c>
      <c r="S27" s="32"/>
      <c r="T27" s="47" t="s">
        <v>153</v>
      </c>
      <c r="U27" s="47">
        <f>COUNTIF($F$10:$F$19,"&gt;=19.5")+COUNTIF($F$21:$F$30,"&gt;=19.5")+COUNTIF($F$32:$F$41,"&gt;=19.5")-COUNTIF($F$10:$F$19,"&gt;28.5")-COUNTIF($F$21:$F$30,"&gt;28.5")-COUNTIF($F$32:$F$41,"&gt;28.5")</f>
        <v>12</v>
      </c>
      <c r="V27" s="32"/>
    </row>
    <row r="28" spans="1:22" x14ac:dyDescent="0.4">
      <c r="A28" s="31">
        <v>18</v>
      </c>
      <c r="B28" s="30">
        <v>27.6</v>
      </c>
      <c r="C28" s="23">
        <v>16.399999999999999</v>
      </c>
      <c r="D28" s="23">
        <f t="shared" si="3"/>
        <v>11.200000000000003</v>
      </c>
      <c r="E28" s="29">
        <v>20.73</v>
      </c>
      <c r="F28" s="28">
        <v>35</v>
      </c>
      <c r="G28" s="23">
        <v>3</v>
      </c>
      <c r="H28" s="23">
        <f t="shared" si="4"/>
        <v>54.4</v>
      </c>
      <c r="I28" s="27">
        <v>8.48</v>
      </c>
      <c r="J28" s="23">
        <v>0</v>
      </c>
      <c r="K28" s="23">
        <v>0</v>
      </c>
      <c r="S28" s="32"/>
      <c r="T28" s="46" t="s">
        <v>152</v>
      </c>
      <c r="U28" s="46">
        <f>COUNTIF($F$10:$F$19,"&gt;=12")+COUNTIF($F$21:$F$30,"&gt;=12")+COUNTIF($F$32:$F$41,"&gt;=12")-COUNTIF($F$10:$F$19,"&gt;19.4")-COUNTIF($F$21:$F$30,"&gt;19.4")-COUNTIF($F$32:$F$41,"&gt;19.4")</f>
        <v>7</v>
      </c>
      <c r="V28" s="32"/>
    </row>
    <row r="29" spans="1:22" x14ac:dyDescent="0.4">
      <c r="A29" s="31">
        <v>19</v>
      </c>
      <c r="B29" s="30">
        <v>27.4</v>
      </c>
      <c r="C29" s="23">
        <v>15.2</v>
      </c>
      <c r="D29" s="23">
        <f t="shared" si="3"/>
        <v>12.2</v>
      </c>
      <c r="E29" s="29">
        <v>21.29</v>
      </c>
      <c r="F29" s="28">
        <v>16</v>
      </c>
      <c r="G29" s="23">
        <v>0</v>
      </c>
      <c r="H29" s="23">
        <f t="shared" si="4"/>
        <v>54.4</v>
      </c>
      <c r="I29" s="27">
        <v>9.48</v>
      </c>
      <c r="J29" s="23">
        <v>0</v>
      </c>
      <c r="K29" s="23">
        <v>0</v>
      </c>
      <c r="S29" s="32"/>
      <c r="T29" s="32" t="s">
        <v>151</v>
      </c>
      <c r="U29" s="32">
        <f>COUNTIF($F$10:$F$19,"&lt;=11.9")+COUNTIF($F$21:$F$30,"&lt;=11.9")+COUNTIF($F$32:$F$41,"&lt;=11.9")</f>
        <v>0</v>
      </c>
      <c r="V29" s="32"/>
    </row>
    <row r="30" spans="1:22" x14ac:dyDescent="0.4">
      <c r="A30" s="31">
        <v>20</v>
      </c>
      <c r="B30" s="30">
        <v>25.7</v>
      </c>
      <c r="C30" s="23">
        <v>13.4</v>
      </c>
      <c r="D30" s="23">
        <f t="shared" si="3"/>
        <v>12.299999999999999</v>
      </c>
      <c r="E30" s="29">
        <v>19.100000000000001</v>
      </c>
      <c r="F30" s="28">
        <v>56</v>
      </c>
      <c r="G30" s="23">
        <v>22.6</v>
      </c>
      <c r="H30" s="23">
        <f t="shared" si="4"/>
        <v>77</v>
      </c>
      <c r="I30" s="27">
        <v>6.5</v>
      </c>
      <c r="J30" s="23">
        <v>0</v>
      </c>
      <c r="K30" s="23">
        <v>0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5">AVERAGE(B21:B30)</f>
        <v>25.85</v>
      </c>
      <c r="C31" s="17">
        <f t="shared" si="5"/>
        <v>14.209999999999999</v>
      </c>
      <c r="D31" s="17">
        <f t="shared" si="5"/>
        <v>11.64</v>
      </c>
      <c r="E31" s="39">
        <f t="shared" si="5"/>
        <v>19.97</v>
      </c>
      <c r="F31" s="18">
        <f t="shared" si="5"/>
        <v>29.1</v>
      </c>
      <c r="G31" s="17">
        <f t="shared" si="5"/>
        <v>2.56</v>
      </c>
      <c r="H31" s="17">
        <f>SUM(H30-H19)</f>
        <v>25.6</v>
      </c>
      <c r="I31" s="16">
        <f>AVERAGE(I21:I30)</f>
        <v>10.885000000000002</v>
      </c>
      <c r="J31" s="17">
        <f>SUM(J21:J30)</f>
        <v>0</v>
      </c>
      <c r="K31" s="17">
        <f>AVERAGE(K21:K30)</f>
        <v>0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22.2</v>
      </c>
      <c r="C32" s="23">
        <v>13.1</v>
      </c>
      <c r="D32" s="23">
        <f t="shared" ref="D32:D41" si="6">SUM(B32-C32)</f>
        <v>9.1</v>
      </c>
      <c r="E32" s="29">
        <v>16.239999999999998</v>
      </c>
      <c r="F32" s="28">
        <v>26</v>
      </c>
      <c r="G32" s="23">
        <v>14.6</v>
      </c>
      <c r="H32" s="23">
        <f>H30+G32</f>
        <v>91.6</v>
      </c>
      <c r="I32" s="27">
        <v>5.55</v>
      </c>
      <c r="J32" s="23">
        <v>0</v>
      </c>
      <c r="K32" s="23">
        <v>0</v>
      </c>
      <c r="S32" s="32"/>
      <c r="T32" s="44" t="s">
        <v>149</v>
      </c>
      <c r="U32" s="44">
        <f>COUNTIF(K10:K19,"&gt;0")+COUNTIF(K21:K30,"&gt;0")+COUNTIF(K32:K41,"&gt;0")</f>
        <v>0</v>
      </c>
      <c r="V32" s="32"/>
    </row>
    <row r="33" spans="1:22" x14ac:dyDescent="0.4">
      <c r="A33" s="31">
        <v>22</v>
      </c>
      <c r="B33" s="30">
        <v>19.7</v>
      </c>
      <c r="C33" s="23">
        <v>12.2</v>
      </c>
      <c r="D33" s="23">
        <f t="shared" si="6"/>
        <v>7.5</v>
      </c>
      <c r="E33" s="29">
        <v>14.77</v>
      </c>
      <c r="F33" s="28">
        <v>23</v>
      </c>
      <c r="G33" s="23">
        <v>20.2</v>
      </c>
      <c r="H33" s="23">
        <f t="shared" ref="H33:H41" si="7">H32+G33</f>
        <v>111.8</v>
      </c>
      <c r="I33" s="27">
        <v>3.53</v>
      </c>
      <c r="J33" s="23">
        <v>0</v>
      </c>
      <c r="K33" s="23">
        <v>0</v>
      </c>
      <c r="S33" s="32"/>
      <c r="T33" s="43" t="s">
        <v>148</v>
      </c>
      <c r="U33" s="43">
        <f>COUNTIF(K10:K19,"&gt;=1")+COUNTIF(K21:K30,"&gt;=1")+COUNTIF(K32:K41,"&gt;=1")</f>
        <v>0</v>
      </c>
      <c r="V33" s="32"/>
    </row>
    <row r="34" spans="1:22" x14ac:dyDescent="0.4">
      <c r="A34" s="31">
        <v>23</v>
      </c>
      <c r="B34" s="30">
        <v>19.7</v>
      </c>
      <c r="C34" s="23">
        <v>10.4</v>
      </c>
      <c r="D34" s="23">
        <f t="shared" si="6"/>
        <v>9.2999999999999989</v>
      </c>
      <c r="E34" s="29">
        <v>14.96</v>
      </c>
      <c r="F34" s="28">
        <v>21</v>
      </c>
      <c r="G34" s="23">
        <v>16.8</v>
      </c>
      <c r="H34" s="23">
        <f t="shared" si="7"/>
        <v>128.6</v>
      </c>
      <c r="I34" s="27">
        <v>5.97</v>
      </c>
      <c r="J34" s="23">
        <v>0</v>
      </c>
      <c r="K34" s="23">
        <v>0</v>
      </c>
      <c r="S34" s="32"/>
      <c r="T34" s="42" t="s">
        <v>147</v>
      </c>
      <c r="U34" s="42">
        <f>COUNTIF(K10:K19,"&gt;=5")+COUNTIF(K21:K30,"&gt;=5")+COUNTIF(K32:K41,"&gt;=5")</f>
        <v>0</v>
      </c>
      <c r="V34" s="32"/>
    </row>
    <row r="35" spans="1:22" x14ac:dyDescent="0.4">
      <c r="A35" s="31">
        <v>24</v>
      </c>
      <c r="B35" s="30">
        <v>18.3</v>
      </c>
      <c r="C35" s="23">
        <v>9.9</v>
      </c>
      <c r="D35" s="23">
        <f t="shared" si="6"/>
        <v>8.4</v>
      </c>
      <c r="E35" s="29">
        <v>12.62</v>
      </c>
      <c r="F35" s="28">
        <v>27</v>
      </c>
      <c r="G35" s="23">
        <v>49.8</v>
      </c>
      <c r="H35" s="23">
        <f t="shared" si="7"/>
        <v>178.39999999999998</v>
      </c>
      <c r="I35" s="27">
        <v>2.62</v>
      </c>
      <c r="J35" s="23">
        <v>0</v>
      </c>
      <c r="K35" s="23">
        <v>0</v>
      </c>
      <c r="S35" s="32"/>
      <c r="T35" s="41" t="s">
        <v>146</v>
      </c>
      <c r="U35" s="41">
        <f>COUNTIF(K10:K19,"&gt;=10")+COUNTIF(K21:K30,"&gt;=10")+COUNTIF(K32:K41,"&gt;=10")</f>
        <v>0</v>
      </c>
      <c r="V35" s="32"/>
    </row>
    <row r="36" spans="1:22" x14ac:dyDescent="0.4">
      <c r="A36" s="31">
        <v>25</v>
      </c>
      <c r="B36" s="30">
        <v>15.7</v>
      </c>
      <c r="C36" s="23">
        <v>10.7</v>
      </c>
      <c r="D36" s="23">
        <f t="shared" si="6"/>
        <v>5</v>
      </c>
      <c r="E36" s="29">
        <v>12.53</v>
      </c>
      <c r="F36" s="28">
        <v>18</v>
      </c>
      <c r="G36" s="23">
        <v>3.4</v>
      </c>
      <c r="H36" s="23">
        <f t="shared" si="7"/>
        <v>181.79999999999998</v>
      </c>
      <c r="I36" s="27">
        <v>1.03</v>
      </c>
      <c r="J36" s="23">
        <v>0</v>
      </c>
      <c r="K36" s="23">
        <v>0</v>
      </c>
      <c r="S36" s="32"/>
      <c r="T36" s="40" t="s">
        <v>145</v>
      </c>
      <c r="U36" s="40">
        <f>COUNTIF(K10:K19,"&gt;=15")+COUNTIF(K21:K30,"&gt;=15")+COUNTIF(K32:K41,"&gt;=15")</f>
        <v>0</v>
      </c>
      <c r="V36" s="32"/>
    </row>
    <row r="37" spans="1:22" x14ac:dyDescent="0.4">
      <c r="A37" s="31">
        <v>26</v>
      </c>
      <c r="B37" s="30">
        <v>21.2</v>
      </c>
      <c r="C37" s="23">
        <v>9.1999999999999993</v>
      </c>
      <c r="D37" s="23">
        <f t="shared" si="6"/>
        <v>12</v>
      </c>
      <c r="E37" s="29">
        <v>15.45</v>
      </c>
      <c r="F37" s="28">
        <v>18</v>
      </c>
      <c r="G37" s="23">
        <v>0.2</v>
      </c>
      <c r="H37" s="23">
        <f t="shared" si="7"/>
        <v>181.99999999999997</v>
      </c>
      <c r="I37" s="27">
        <v>11.25</v>
      </c>
      <c r="J37" s="23">
        <v>0</v>
      </c>
      <c r="K37" s="23">
        <v>0</v>
      </c>
      <c r="S37" s="32"/>
      <c r="T37" s="38" t="s">
        <v>143</v>
      </c>
      <c r="U37" s="38">
        <f>COUNTIF(K10:K19,"&gt;=20")+COUNTIF(K21:K30,"&gt;=20")+COUNTIF(K32:K41,"&gt;=20")</f>
        <v>0</v>
      </c>
      <c r="V37" s="32"/>
    </row>
    <row r="38" spans="1:22" x14ac:dyDescent="0.4">
      <c r="A38" s="31">
        <v>27</v>
      </c>
      <c r="B38" s="30">
        <v>25.1</v>
      </c>
      <c r="C38" s="23">
        <v>13.3</v>
      </c>
      <c r="D38" s="23">
        <f t="shared" si="6"/>
        <v>11.8</v>
      </c>
      <c r="E38" s="29">
        <v>18.559999999999999</v>
      </c>
      <c r="F38" s="28">
        <v>29</v>
      </c>
      <c r="G38" s="23">
        <v>2</v>
      </c>
      <c r="H38" s="23">
        <f t="shared" si="7"/>
        <v>183.99999999999997</v>
      </c>
      <c r="I38" s="27">
        <v>10.43</v>
      </c>
      <c r="J38" s="23">
        <v>0</v>
      </c>
      <c r="K38" s="23">
        <v>0</v>
      </c>
      <c r="T38" s="37" t="s">
        <v>142</v>
      </c>
      <c r="U38" s="37">
        <f>COUNTIF(K10:K19,"&gt;=30")+COUNTIF(K21:K30,"&gt;=30")+COUNTIF(K32:K41,"&gt;=30")</f>
        <v>0</v>
      </c>
    </row>
    <row r="39" spans="1:22" x14ac:dyDescent="0.4">
      <c r="A39" s="31">
        <v>28</v>
      </c>
      <c r="B39" s="30">
        <v>23.9</v>
      </c>
      <c r="C39" s="23">
        <v>13.4</v>
      </c>
      <c r="D39" s="23">
        <f t="shared" si="6"/>
        <v>10.499999999999998</v>
      </c>
      <c r="E39" s="29">
        <v>17.100000000000001</v>
      </c>
      <c r="F39" s="28">
        <v>72</v>
      </c>
      <c r="G39" s="23">
        <v>22.4</v>
      </c>
      <c r="H39" s="23">
        <f t="shared" si="7"/>
        <v>206.39999999999998</v>
      </c>
      <c r="I39" s="27">
        <v>8.6</v>
      </c>
      <c r="J39" s="23">
        <v>0</v>
      </c>
      <c r="K39" s="23">
        <v>0</v>
      </c>
      <c r="T39" s="36" t="s">
        <v>141</v>
      </c>
      <c r="U39" s="36">
        <f>COUNTIF(K10:K19,"&gt;=40")+COUNTIF(K21:K30,"&gt;=40")+COUNTIF(K32:K41,"&gt;=40")</f>
        <v>0</v>
      </c>
    </row>
    <row r="40" spans="1:22" x14ac:dyDescent="0.4">
      <c r="A40" s="31">
        <v>29</v>
      </c>
      <c r="B40" s="30">
        <v>18.2</v>
      </c>
      <c r="C40" s="23">
        <v>10.5</v>
      </c>
      <c r="D40" s="23">
        <f t="shared" si="6"/>
        <v>7.6999999999999993</v>
      </c>
      <c r="E40" s="29">
        <v>13.74</v>
      </c>
      <c r="F40" s="28">
        <v>64</v>
      </c>
      <c r="G40" s="23">
        <v>23.6</v>
      </c>
      <c r="H40" s="23">
        <f t="shared" si="7"/>
        <v>229.99999999999997</v>
      </c>
      <c r="I40" s="27">
        <v>3.78</v>
      </c>
      <c r="J40" s="23">
        <v>0</v>
      </c>
      <c r="K40" s="23">
        <v>0</v>
      </c>
      <c r="T40" s="35" t="s">
        <v>140</v>
      </c>
      <c r="U40" s="35">
        <f>COUNTIF(K10:K19,"&gt;=50")+COUNTIF(K21:K30,"&gt;=50")+COUNTIF(K32:K41,"&gt;=50")</f>
        <v>0</v>
      </c>
    </row>
    <row r="41" spans="1:22" x14ac:dyDescent="0.4">
      <c r="A41" s="31">
        <v>30</v>
      </c>
      <c r="B41" s="30">
        <v>17.3</v>
      </c>
      <c r="C41" s="23">
        <v>8.3000000000000007</v>
      </c>
      <c r="D41" s="23">
        <f t="shared" si="6"/>
        <v>9</v>
      </c>
      <c r="E41" s="29">
        <v>11.99</v>
      </c>
      <c r="F41" s="28">
        <v>44</v>
      </c>
      <c r="G41" s="23">
        <v>11.6</v>
      </c>
      <c r="H41" s="23">
        <f t="shared" si="7"/>
        <v>241.59999999999997</v>
      </c>
      <c r="I41" s="27">
        <v>5.52</v>
      </c>
      <c r="J41" s="23">
        <v>0</v>
      </c>
      <c r="K41" s="23">
        <v>0</v>
      </c>
      <c r="T41" s="34" t="s">
        <v>139</v>
      </c>
      <c r="U41" s="34">
        <f>COUNTIF(K10:K19,"&gt;=75")+COUNTIF(K21:K30,"&gt;=75")+COUNTIF(K32:K41,"&gt;=75")</f>
        <v>0</v>
      </c>
    </row>
    <row r="42" spans="1:22" x14ac:dyDescent="0.4">
      <c r="A42" s="20" t="s">
        <v>137</v>
      </c>
      <c r="B42" s="19">
        <f t="shared" ref="B42:G42" si="8">AVERAGE(B32:B41)</f>
        <v>20.130000000000003</v>
      </c>
      <c r="C42" s="17">
        <f t="shared" si="8"/>
        <v>11.1</v>
      </c>
      <c r="D42" s="17">
        <f t="shared" si="8"/>
        <v>9.0299999999999994</v>
      </c>
      <c r="E42" s="39">
        <f t="shared" si="8"/>
        <v>14.796000000000001</v>
      </c>
      <c r="F42" s="18">
        <f t="shared" si="8"/>
        <v>34.200000000000003</v>
      </c>
      <c r="G42" s="17">
        <f t="shared" si="8"/>
        <v>16.46</v>
      </c>
      <c r="H42" s="17">
        <f>SUM(H41-H30)</f>
        <v>164.59999999999997</v>
      </c>
      <c r="I42" s="16">
        <f>AVERAGE(I32:I41)</f>
        <v>5.8280000000000003</v>
      </c>
      <c r="J42" s="17">
        <f>SUM(J32:J41)</f>
        <v>0</v>
      </c>
      <c r="K42" s="17">
        <f>AVERAGE(K32:K41)</f>
        <v>0</v>
      </c>
      <c r="T42" s="33" t="s">
        <v>138</v>
      </c>
      <c r="U42" s="33">
        <f>COUNTIF(K10:K19,"&gt;=100")+COUNTIF(K21:K30,"&gt;=100")+COUNTIF(K32:K41,"&gt;=100")</f>
        <v>0</v>
      </c>
    </row>
    <row r="43" spans="1:22" x14ac:dyDescent="0.4">
      <c r="A43" s="14" t="s">
        <v>136</v>
      </c>
      <c r="B43" s="13">
        <f t="shared" ref="B43:G43" si="9">AVERAGE(B10:B19,B21:B30,B32:B41)</f>
        <v>22.02</v>
      </c>
      <c r="C43" s="9">
        <f t="shared" si="9"/>
        <v>12.236666666666663</v>
      </c>
      <c r="D43" s="9">
        <f t="shared" si="9"/>
        <v>9.7833333333333332</v>
      </c>
      <c r="E43" s="80">
        <f t="shared" si="9"/>
        <v>16.58966666666667</v>
      </c>
      <c r="F43" s="12">
        <f t="shared" si="9"/>
        <v>29.233333333333334</v>
      </c>
      <c r="G43" s="9">
        <f t="shared" si="9"/>
        <v>8.0533333333333328</v>
      </c>
      <c r="H43" s="11">
        <f>MAX(H10:H19,H21:H30,H32:H41)</f>
        <v>241.59999999999997</v>
      </c>
      <c r="I43" s="79">
        <f>AVERAGE(I10:I19,I21:I30,I32:I41)</f>
        <v>7.371666666666667</v>
      </c>
      <c r="J43" s="9">
        <f>SUM(J10:J19,J21:J30,J32:J41)</f>
        <v>0</v>
      </c>
      <c r="K43" s="9">
        <f>AVERAGE(K10:K19,K21:K30,K32:K41)</f>
        <v>0</v>
      </c>
    </row>
  </sheetData>
  <protectedRanges>
    <protectedRange sqref="B21:C30 B32:C41 A3 R16 V17 R7:R9 V8:V9 V12:V13 W1 AM1 BC1 B10:C19 E32:G41 E10:G19 E21:G30 R14 I10:K19 I21:K30 I32:K41" name="Bereich1"/>
    <protectedRange sqref="H10:H19 H21:H30 H32:H41" name="Bereich1_1"/>
    <protectedRange sqref="L1" name="Bereich1_2"/>
    <protectedRange sqref="Q16" name="Bereich1_3"/>
  </protectedRanges>
  <mergeCells count="10">
    <mergeCell ref="B7:B9"/>
    <mergeCell ref="C7:C9"/>
    <mergeCell ref="A1:K1"/>
    <mergeCell ref="L1:V1"/>
    <mergeCell ref="W1:AL1"/>
    <mergeCell ref="AM1:BB1"/>
    <mergeCell ref="A3:K3"/>
    <mergeCell ref="B6:E6"/>
    <mergeCell ref="G6:H6"/>
    <mergeCell ref="J6:K6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3" manualBreakCount="3">
    <brk id="11" max="42" man="1"/>
    <brk id="22" max="42" man="1"/>
    <brk id="38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2D3E-33F2-412A-8440-994B5F4C171A}">
  <dimension ref="A1:BB44"/>
  <sheetViews>
    <sheetView zoomScaleNormal="100" zoomScaleSheetLayoutView="100" workbookViewId="0">
      <selection activeCell="G34" sqref="G34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15" max="15" width="10.8203125" customWidth="1"/>
    <col min="21" max="21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R3" t="s">
        <v>240</v>
      </c>
      <c r="S3" t="s">
        <v>241</v>
      </c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R4" t="s">
        <v>242</v>
      </c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1" t="s">
        <v>200</v>
      </c>
      <c r="K6" s="97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45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70"/>
      <c r="L7" s="32" t="s">
        <v>192</v>
      </c>
      <c r="M7" s="89" t="s">
        <v>100</v>
      </c>
      <c r="N7" s="57">
        <f>AVERAGE(B10:B19,B21:B30,B32:B42)</f>
        <v>20.822580645161292</v>
      </c>
      <c r="O7" s="56">
        <f>MAX(B10:B19,B21:B30,B32:B42)</f>
        <v>25.8</v>
      </c>
      <c r="P7" s="36">
        <f>MIN(B10:B19,B21:B30,B32:B42)</f>
        <v>13.9</v>
      </c>
      <c r="Q7" s="32"/>
      <c r="R7" s="34">
        <v>-2.1800000000000002</v>
      </c>
      <c r="S7" s="63" t="s">
        <v>191</v>
      </c>
      <c r="T7" s="34" t="s">
        <v>190</v>
      </c>
      <c r="U7" s="34">
        <f>COUNTIF($C$10:$C$19,"&lt;=-10")+COUNTIF($C$21:$C$30,"&lt;=-10")+COUNTIF($C$32:$C$42,"&lt;=-10")</f>
        <v>0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AVERAGE(C10:C19,C21:C30,C32:C42)</f>
        <v>12.187096774193549</v>
      </c>
      <c r="O8" s="56">
        <f>MAX(C10:C19,C21:C30,C32:C42)</f>
        <v>16.2</v>
      </c>
      <c r="P8" s="36">
        <f>MIN(C10:C19,C21:C30,C32:C42)</f>
        <v>8.6999999999999993</v>
      </c>
      <c r="Q8" s="32"/>
      <c r="R8" s="34">
        <v>0.49</v>
      </c>
      <c r="S8" s="63" t="s">
        <v>185</v>
      </c>
      <c r="T8" s="36" t="s">
        <v>184</v>
      </c>
      <c r="U8" s="36">
        <f>COUNTIF($B$10:$B$19,"&lt;=0")+COUNTIF($B$21:$B$30,"&lt;=0")+COUNTIF($B$32:$B$42,"&lt;=0")</f>
        <v>0</v>
      </c>
      <c r="V8" s="34">
        <v>0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AVERAGE(E10:E19,E21:E30,E32:E42)</f>
        <v>15.941290322580643</v>
      </c>
      <c r="O9" s="56">
        <f>MAX(E10:E19,E21:E30,E32:E42)</f>
        <v>20.3</v>
      </c>
      <c r="P9" s="36">
        <f>MIN(E10:E19,E21:E30,E32:E42)</f>
        <v>11.3</v>
      </c>
      <c r="Q9" s="32"/>
      <c r="R9" s="34">
        <v>-1.1599999999999999</v>
      </c>
      <c r="S9" s="63" t="s">
        <v>177</v>
      </c>
      <c r="T9" s="37" t="s">
        <v>176</v>
      </c>
      <c r="U9" s="37">
        <f>COUNTIF($C$10:$C$19,"&lt;0")+COUNTIF($C$21:$C$30,"&lt;0")+COUNTIF($C$32:$C$42,"&lt;0")</f>
        <v>0</v>
      </c>
      <c r="V9" s="34">
        <v>0</v>
      </c>
    </row>
    <row r="10" spans="1:54" x14ac:dyDescent="0.4">
      <c r="A10" s="31">
        <v>1</v>
      </c>
      <c r="B10" s="30">
        <v>17.600000000000001</v>
      </c>
      <c r="C10" s="23">
        <v>10.9</v>
      </c>
      <c r="D10" s="23">
        <f t="shared" ref="D10:D19" si="0">SUM(B10-C10)</f>
        <v>6.7000000000000011</v>
      </c>
      <c r="E10" s="29">
        <v>13.44</v>
      </c>
      <c r="F10" s="28">
        <v>27</v>
      </c>
      <c r="G10" s="23">
        <v>2.2000000000000002</v>
      </c>
      <c r="H10" s="23">
        <f>G10</f>
        <v>2.2000000000000002</v>
      </c>
      <c r="I10" s="27">
        <v>1.85</v>
      </c>
      <c r="J10" s="23">
        <v>0</v>
      </c>
      <c r="K10" s="23">
        <v>0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COUNTIF($B$10:$B$19,"&lt;10")+COUNTIF($B$21:$B$30,"&lt;10")+COUNTIF($B$32:$B$42,"&lt;10")</f>
        <v>0</v>
      </c>
      <c r="V10" s="32"/>
    </row>
    <row r="11" spans="1:54" x14ac:dyDescent="0.4">
      <c r="A11" s="31">
        <v>2</v>
      </c>
      <c r="B11" s="30">
        <v>20.9</v>
      </c>
      <c r="C11" s="23">
        <v>10.6</v>
      </c>
      <c r="D11" s="23">
        <f t="shared" si="0"/>
        <v>10.299999999999999</v>
      </c>
      <c r="E11" s="29">
        <v>15.75</v>
      </c>
      <c r="F11" s="28">
        <v>18</v>
      </c>
      <c r="G11" s="23">
        <v>0</v>
      </c>
      <c r="H11" s="23">
        <f t="shared" ref="H11:H19" si="1">H10+G11</f>
        <v>2.2000000000000002</v>
      </c>
      <c r="I11" s="27">
        <v>11.6</v>
      </c>
      <c r="J11" s="23">
        <v>0</v>
      </c>
      <c r="K11" s="23">
        <v>0</v>
      </c>
      <c r="L11" s="32" t="s">
        <v>173</v>
      </c>
      <c r="M11" s="89" t="s">
        <v>102</v>
      </c>
      <c r="N11" s="57">
        <f>AVERAGE(F10:F19,F21:F30,F32:F42)</f>
        <v>29.258064516129032</v>
      </c>
      <c r="O11" s="56">
        <f>MAX(F10:F19,F21:F30,F32:F42)</f>
        <v>68</v>
      </c>
      <c r="P11" s="36">
        <f>MIN(F10:F19,F21:F30,F32:F42)</f>
        <v>14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COUNTIF($B$10:$B$19,"&gt;=20")+COUNTIF($B$21:$B$30,"&gt;=20")+COUNTIF($B$32:$B$42,"&gt;=20")</f>
        <v>21</v>
      </c>
      <c r="V11" s="32"/>
    </row>
    <row r="12" spans="1:54" x14ac:dyDescent="0.4">
      <c r="A12" s="31">
        <v>3</v>
      </c>
      <c r="B12" s="30">
        <v>20.3</v>
      </c>
      <c r="C12" s="23">
        <v>12.3</v>
      </c>
      <c r="D12" s="23">
        <f t="shared" si="0"/>
        <v>8</v>
      </c>
      <c r="E12" s="29">
        <v>15.11</v>
      </c>
      <c r="F12" s="28">
        <v>19</v>
      </c>
      <c r="G12" s="23">
        <v>7.4</v>
      </c>
      <c r="H12" s="23">
        <f t="shared" si="1"/>
        <v>9.6000000000000014</v>
      </c>
      <c r="I12" s="27">
        <v>4.93</v>
      </c>
      <c r="J12" s="23">
        <v>0</v>
      </c>
      <c r="K12" s="23">
        <v>0</v>
      </c>
      <c r="L12" s="32"/>
      <c r="M12" s="32"/>
      <c r="N12" s="57"/>
      <c r="O12" s="56"/>
      <c r="P12" s="36"/>
      <c r="Q12" s="32"/>
      <c r="S12" s="63" t="s">
        <v>170</v>
      </c>
      <c r="T12" s="48" t="s">
        <v>169</v>
      </c>
      <c r="U12" s="48">
        <f>COUNTIF($B$10:$B$19,"&gt;=25")+COUNTIF($B$21:$B$30,"&gt;=25")+COUNTIF($B$32:$B$42,"&gt;=25")</f>
        <v>3</v>
      </c>
      <c r="V12" s="34">
        <v>-8.4</v>
      </c>
    </row>
    <row r="13" spans="1:54" x14ac:dyDescent="0.4">
      <c r="A13" s="31">
        <v>4</v>
      </c>
      <c r="B13" s="30">
        <v>16.899999999999999</v>
      </c>
      <c r="C13" s="23">
        <v>11.7</v>
      </c>
      <c r="D13" s="23">
        <f t="shared" si="0"/>
        <v>5.1999999999999993</v>
      </c>
      <c r="E13" s="29">
        <v>14.09</v>
      </c>
      <c r="F13" s="28">
        <v>39</v>
      </c>
      <c r="G13" s="23">
        <v>3.6</v>
      </c>
      <c r="H13" s="23">
        <f t="shared" si="1"/>
        <v>13.200000000000001</v>
      </c>
      <c r="I13" s="27">
        <v>0.83</v>
      </c>
      <c r="J13" s="23">
        <v>0</v>
      </c>
      <c r="K13" s="23">
        <v>0</v>
      </c>
      <c r="L13" s="32" t="s">
        <v>168</v>
      </c>
      <c r="M13" s="89" t="s">
        <v>104</v>
      </c>
      <c r="N13" s="57">
        <f>AVERAGE(G10:G19,G21:G30,G32:G42)</f>
        <v>10.812903225806449</v>
      </c>
      <c r="O13" s="56">
        <f>MAX(G10:G19,G21:G30,G32:G42)</f>
        <v>51.6</v>
      </c>
      <c r="P13" s="36">
        <f>MIN(G10:G19,G21:G30,G32:G42)</f>
        <v>0</v>
      </c>
      <c r="Q13" s="32"/>
      <c r="S13" s="63" t="s">
        <v>167</v>
      </c>
      <c r="T13" s="55" t="s">
        <v>166</v>
      </c>
      <c r="U13" s="55">
        <f>COUNTIF($B$10:$B$19,"&gt;=30")+COUNTIF($B$21:$B$30,"&gt;=30")+COUNTIF($B$32:$B$42,"&gt;=30")</f>
        <v>0</v>
      </c>
      <c r="V13" s="34">
        <v>-1.4</v>
      </c>
    </row>
    <row r="14" spans="1:54" x14ac:dyDescent="0.4">
      <c r="A14" s="31">
        <v>5</v>
      </c>
      <c r="B14" s="30">
        <v>22.1</v>
      </c>
      <c r="C14" s="23">
        <v>11.7</v>
      </c>
      <c r="D14" s="23">
        <f t="shared" si="0"/>
        <v>10.400000000000002</v>
      </c>
      <c r="E14" s="29">
        <v>16.04</v>
      </c>
      <c r="F14" s="28">
        <v>29</v>
      </c>
      <c r="G14" s="23">
        <v>0</v>
      </c>
      <c r="H14" s="23">
        <f t="shared" si="1"/>
        <v>13.200000000000001</v>
      </c>
      <c r="I14" s="27">
        <v>4.2</v>
      </c>
      <c r="J14" s="23">
        <v>0</v>
      </c>
      <c r="K14" s="23">
        <v>0</v>
      </c>
      <c r="L14" s="32" t="s">
        <v>165</v>
      </c>
      <c r="M14" s="89" t="s">
        <v>104</v>
      </c>
      <c r="N14" s="64"/>
      <c r="O14" s="32"/>
      <c r="P14" s="32"/>
      <c r="Q14" s="40">
        <f>MAX(H10:H19,H21:H30,H32:H42)</f>
        <v>335.19999999999993</v>
      </c>
      <c r="R14" s="34">
        <v>173.2</v>
      </c>
      <c r="S14" s="63" t="s">
        <v>164</v>
      </c>
      <c r="T14" s="59" t="s">
        <v>163</v>
      </c>
      <c r="U14" s="59">
        <f>COUNTIF($C$10:$C$19,"&gt;=20")+COUNTIF($C$21:$C$30,"&gt;=20")+COUNTIF($C$32:$C$42,"&gt;=20")</f>
        <v>0</v>
      </c>
      <c r="V14" s="60"/>
    </row>
    <row r="15" spans="1:54" x14ac:dyDescent="0.4">
      <c r="A15" s="31">
        <v>6</v>
      </c>
      <c r="B15" s="30">
        <v>20.399999999999999</v>
      </c>
      <c r="C15" s="23">
        <v>13.4</v>
      </c>
      <c r="D15" s="23">
        <f t="shared" si="0"/>
        <v>6.9999999999999982</v>
      </c>
      <c r="E15" s="29">
        <v>16.22</v>
      </c>
      <c r="F15" s="28">
        <v>34</v>
      </c>
      <c r="G15" s="23">
        <v>15</v>
      </c>
      <c r="H15" s="23">
        <f t="shared" si="1"/>
        <v>28.200000000000003</v>
      </c>
      <c r="I15" s="27">
        <v>2.95</v>
      </c>
      <c r="J15" s="23">
        <v>0</v>
      </c>
      <c r="K15" s="23">
        <v>0</v>
      </c>
      <c r="L15" s="32"/>
      <c r="M15" s="32"/>
      <c r="N15" s="57"/>
      <c r="O15" s="56"/>
      <c r="P15" s="36"/>
      <c r="S15" s="32"/>
      <c r="T15" s="32"/>
      <c r="U15" s="32"/>
      <c r="V15" s="60"/>
    </row>
    <row r="16" spans="1:54" x14ac:dyDescent="0.4">
      <c r="A16" s="31">
        <v>7</v>
      </c>
      <c r="B16" s="30">
        <v>19.3</v>
      </c>
      <c r="C16" s="23">
        <v>12.5</v>
      </c>
      <c r="D16" s="23">
        <f t="shared" si="0"/>
        <v>6.8000000000000007</v>
      </c>
      <c r="E16" s="29">
        <v>14.62</v>
      </c>
      <c r="F16" s="28">
        <v>21</v>
      </c>
      <c r="G16" s="23">
        <v>16.8</v>
      </c>
      <c r="H16" s="23">
        <f t="shared" si="1"/>
        <v>45</v>
      </c>
      <c r="I16" s="27">
        <v>2.42</v>
      </c>
      <c r="J16" s="23">
        <v>0</v>
      </c>
      <c r="K16" s="23">
        <v>0</v>
      </c>
      <c r="L16" s="32" t="s">
        <v>162</v>
      </c>
      <c r="M16" s="89" t="s">
        <v>105</v>
      </c>
      <c r="N16" s="57">
        <f>AVERAGE(I10:I19,I21:I30,I32:I42)</f>
        <v>5.7712903225806453</v>
      </c>
      <c r="O16" s="62">
        <f>MAX(I10:I19,I21:I30,I32:I42)</f>
        <v>12.55</v>
      </c>
      <c r="P16" s="61">
        <f>MIN(I10:I19,I21:I30,I32:I42)</f>
        <v>0</v>
      </c>
      <c r="Q16" s="94">
        <v>178.92</v>
      </c>
      <c r="R16" s="34">
        <v>-66.08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15.6</v>
      </c>
      <c r="C17" s="23">
        <v>10.1</v>
      </c>
      <c r="D17" s="23">
        <f t="shared" si="0"/>
        <v>5.5</v>
      </c>
      <c r="E17" s="29">
        <v>13.09</v>
      </c>
      <c r="F17" s="28">
        <v>26</v>
      </c>
      <c r="G17" s="23">
        <v>33.799999999999997</v>
      </c>
      <c r="H17" s="23">
        <f t="shared" si="1"/>
        <v>78.8</v>
      </c>
      <c r="I17" s="27">
        <v>0.37</v>
      </c>
      <c r="J17" s="23">
        <v>0</v>
      </c>
      <c r="K17" s="23">
        <v>0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COUNTIF(G10:G19,"&gt;=1")+COUNTIF(G21:G30,"&gt;=1")+COUNTIF(G32:G42,"&gt;=1")</f>
        <v>21</v>
      </c>
      <c r="V17" s="34">
        <v>9.5</v>
      </c>
    </row>
    <row r="18" spans="1:22" x14ac:dyDescent="0.4">
      <c r="A18" s="31">
        <v>9</v>
      </c>
      <c r="B18" s="30">
        <v>20.399999999999999</v>
      </c>
      <c r="C18" s="23">
        <v>9.9</v>
      </c>
      <c r="D18" s="23">
        <f t="shared" si="0"/>
        <v>10.499999999999998</v>
      </c>
      <c r="E18" s="29">
        <v>14.32</v>
      </c>
      <c r="F18" s="28">
        <v>19</v>
      </c>
      <c r="G18" s="23">
        <v>10.6</v>
      </c>
      <c r="H18" s="23">
        <f t="shared" si="1"/>
        <v>89.399999999999991</v>
      </c>
      <c r="I18" s="27">
        <v>6.77</v>
      </c>
      <c r="J18" s="23">
        <v>0</v>
      </c>
      <c r="K18" s="23">
        <v>0</v>
      </c>
      <c r="L18" s="32" t="s">
        <v>159</v>
      </c>
      <c r="M18" s="89" t="s">
        <v>108</v>
      </c>
      <c r="N18" s="57">
        <f>AVERAGE(J10:J19,J21:J30,J32:J42)</f>
        <v>0</v>
      </c>
      <c r="O18" s="56">
        <f>MAX(J10:J19,J21:J30,J32:J42)</f>
        <v>0</v>
      </c>
      <c r="P18" s="36">
        <f>MIN(J10:J19,J21:J30,J32:J42)</f>
        <v>0</v>
      </c>
      <c r="Q18" s="58">
        <f>SUM(J10:J19,J21:J30,J32:J42)</f>
        <v>0</v>
      </c>
      <c r="R18" s="32"/>
      <c r="S18" s="32"/>
      <c r="T18" s="85" t="s">
        <v>224</v>
      </c>
      <c r="U18" s="85">
        <f>COUNTIF(G10:G19,"&gt;=10")+COUNTIF(G21:G30,"&gt;=10")+COUNTIF(G32:G42,"&gt;=10")</f>
        <v>12</v>
      </c>
      <c r="V18" s="32"/>
    </row>
    <row r="19" spans="1:22" x14ac:dyDescent="0.4">
      <c r="A19" s="31">
        <v>10</v>
      </c>
      <c r="B19" s="30">
        <v>23.5</v>
      </c>
      <c r="C19" s="23">
        <v>10.4</v>
      </c>
      <c r="D19" s="23">
        <f t="shared" si="0"/>
        <v>13.1</v>
      </c>
      <c r="E19" s="29">
        <v>14.3</v>
      </c>
      <c r="F19" s="28">
        <v>45</v>
      </c>
      <c r="G19" s="23">
        <v>10</v>
      </c>
      <c r="H19" s="23">
        <f t="shared" si="1"/>
        <v>99.399999999999991</v>
      </c>
      <c r="I19" s="27">
        <v>11.5</v>
      </c>
      <c r="J19" s="23">
        <v>0</v>
      </c>
      <c r="K19" s="23">
        <v>0</v>
      </c>
      <c r="L19" s="32" t="s">
        <v>157</v>
      </c>
      <c r="M19" s="89" t="s">
        <v>108</v>
      </c>
      <c r="N19" s="57">
        <f>AVERAGE(K10:K19,K21:K30,K32:K42)</f>
        <v>0</v>
      </c>
      <c r="O19" s="56">
        <f>MAX(K10:K19,K21:K30,K32:K42)</f>
        <v>0</v>
      </c>
      <c r="P19" s="36">
        <f>MIN(K10:K19,K21:K30,K32:K42)</f>
        <v>0</v>
      </c>
      <c r="S19" s="32"/>
      <c r="T19" s="86" t="s">
        <v>225</v>
      </c>
      <c r="U19" s="86">
        <f>COUNTIF(G10:G19,"&gt;=20")+COUNTIF(G21:G30,"&gt;=20")+COUNTIF(G32:G42,"&gt;=20")</f>
        <v>5</v>
      </c>
      <c r="V19" s="32"/>
    </row>
    <row r="20" spans="1:22" x14ac:dyDescent="0.4">
      <c r="A20" s="54" t="s">
        <v>155</v>
      </c>
      <c r="B20" s="53">
        <f t="shared" ref="B20:G20" si="2">AVERAGE(B10:B19)</f>
        <v>19.7</v>
      </c>
      <c r="C20" s="49">
        <f t="shared" si="2"/>
        <v>11.350000000000001</v>
      </c>
      <c r="D20" s="49">
        <f t="shared" si="2"/>
        <v>8.35</v>
      </c>
      <c r="E20" s="52">
        <f t="shared" si="2"/>
        <v>14.698000000000002</v>
      </c>
      <c r="F20" s="51">
        <f t="shared" si="2"/>
        <v>27.7</v>
      </c>
      <c r="G20" s="49">
        <f t="shared" si="2"/>
        <v>9.94</v>
      </c>
      <c r="H20" s="49">
        <f>MAX(H10:H19)</f>
        <v>99.399999999999991</v>
      </c>
      <c r="I20" s="50">
        <f>AVERAGE(I10:I19)</f>
        <v>4.7419999999999991</v>
      </c>
      <c r="J20" s="49">
        <f>SUM(J10:J19)</f>
        <v>0</v>
      </c>
      <c r="K20" s="49">
        <f>AVERAGE(K10:K19)</f>
        <v>0</v>
      </c>
      <c r="Q20" s="32"/>
      <c r="R20" s="32"/>
      <c r="S20" s="32"/>
      <c r="T20" s="87" t="s">
        <v>226</v>
      </c>
      <c r="U20" s="87">
        <f>COUNTIF(G10:G19,"&gt;=50")+COUNTIF(G21:G30,"&gt;=50")+COUNTIF(G32:G42,"&gt;=50")</f>
        <v>1</v>
      </c>
      <c r="V20" s="32"/>
    </row>
    <row r="21" spans="1:22" x14ac:dyDescent="0.4">
      <c r="A21" s="31">
        <v>11</v>
      </c>
      <c r="B21" s="30">
        <v>20.399999999999999</v>
      </c>
      <c r="C21" s="23">
        <v>10.6</v>
      </c>
      <c r="D21" s="23">
        <f t="shared" ref="D21:D30" si="3">SUM(B21-C21)</f>
        <v>9.7999999999999989</v>
      </c>
      <c r="E21" s="29">
        <v>15.4</v>
      </c>
      <c r="F21" s="28">
        <v>19</v>
      </c>
      <c r="G21" s="23">
        <v>0.2</v>
      </c>
      <c r="H21" s="23">
        <f>H19+G21</f>
        <v>99.6</v>
      </c>
      <c r="I21" s="27">
        <v>5.72</v>
      </c>
      <c r="J21" s="23">
        <v>0</v>
      </c>
      <c r="K21" s="23">
        <v>0</v>
      </c>
      <c r="Q21" s="32"/>
      <c r="R21" s="32"/>
      <c r="S21" s="32"/>
      <c r="V21" s="32"/>
    </row>
    <row r="22" spans="1:22" x14ac:dyDescent="0.4">
      <c r="A22" s="31">
        <v>12</v>
      </c>
      <c r="B22" s="30">
        <v>24</v>
      </c>
      <c r="C22" s="23">
        <v>11.8</v>
      </c>
      <c r="D22" s="23">
        <f t="shared" si="3"/>
        <v>12.2</v>
      </c>
      <c r="E22" s="29">
        <v>17.399999999999999</v>
      </c>
      <c r="F22" s="28">
        <v>29</v>
      </c>
      <c r="G22" s="23">
        <v>7.8</v>
      </c>
      <c r="H22" s="23">
        <f t="shared" ref="H22:H30" si="4">H21+G22</f>
        <v>107.39999999999999</v>
      </c>
      <c r="I22" s="27">
        <v>7.43</v>
      </c>
      <c r="J22" s="23">
        <v>0</v>
      </c>
      <c r="K22" s="23">
        <v>0</v>
      </c>
      <c r="Q22" s="32"/>
      <c r="R22" s="32"/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15.7</v>
      </c>
      <c r="C23" s="23">
        <v>8.6999999999999993</v>
      </c>
      <c r="D23" s="23">
        <f t="shared" si="3"/>
        <v>7</v>
      </c>
      <c r="E23" s="29">
        <v>11.3</v>
      </c>
      <c r="F23" s="28">
        <v>45</v>
      </c>
      <c r="G23" s="23">
        <v>51.6</v>
      </c>
      <c r="H23" s="23">
        <f t="shared" si="4"/>
        <v>159</v>
      </c>
      <c r="I23" s="27">
        <v>0.75</v>
      </c>
      <c r="J23" s="23">
        <v>0</v>
      </c>
      <c r="K23" s="23">
        <v>0</v>
      </c>
      <c r="Q23" s="32"/>
      <c r="R23" s="32"/>
      <c r="S23" s="32"/>
      <c r="T23" s="59" t="s">
        <v>160</v>
      </c>
      <c r="U23" s="59">
        <f>COUNTIF($F$10:$F$19,"&gt;=61.8")+COUNTIF($F$21:$F$30,"&gt;=61.8")+COUNTIF($F$32:$F$42,"&gt;=61.8")</f>
        <v>1</v>
      </c>
      <c r="V23" s="32"/>
    </row>
    <row r="24" spans="1:22" x14ac:dyDescent="0.4">
      <c r="A24" s="31">
        <v>14</v>
      </c>
      <c r="B24" s="30">
        <v>16.899999999999999</v>
      </c>
      <c r="C24" s="23">
        <v>8.9</v>
      </c>
      <c r="D24" s="23">
        <f t="shared" si="3"/>
        <v>7.9999999999999982</v>
      </c>
      <c r="E24" s="29">
        <v>11.8</v>
      </c>
      <c r="F24" s="28">
        <v>40</v>
      </c>
      <c r="G24" s="23">
        <v>6.8</v>
      </c>
      <c r="H24" s="23">
        <f t="shared" si="4"/>
        <v>165.8</v>
      </c>
      <c r="I24" s="27">
        <v>3.27</v>
      </c>
      <c r="J24" s="23">
        <v>0</v>
      </c>
      <c r="K24" s="23">
        <v>0</v>
      </c>
      <c r="Q24" s="32"/>
      <c r="R24" s="32"/>
      <c r="S24" s="32"/>
      <c r="T24" s="56" t="s">
        <v>158</v>
      </c>
      <c r="U24" s="56">
        <f>COUNTIF($F$10:$F$19,"&gt;=49.9")+COUNTIF($F$21:$F$30,"&gt;=49.9")+COUNTIF($F$32:$F$42,"&gt;=49.9")-COUNTIF($F$10:$F$19,"&gt;61.7")-COUNTIF($F$21:$F$30,"&gt;61.7")-COUNTIF($F$32:$F$42,"&gt;61.7")</f>
        <v>0</v>
      </c>
      <c r="V24" s="32"/>
    </row>
    <row r="25" spans="1:22" x14ac:dyDescent="0.4">
      <c r="A25" s="31">
        <v>15</v>
      </c>
      <c r="B25" s="30">
        <v>13.9</v>
      </c>
      <c r="C25" s="23">
        <v>10.3</v>
      </c>
      <c r="D25" s="23">
        <f t="shared" si="3"/>
        <v>3.5999999999999996</v>
      </c>
      <c r="E25" s="29">
        <v>12</v>
      </c>
      <c r="F25" s="28">
        <v>34</v>
      </c>
      <c r="G25" s="23">
        <v>36.200000000000003</v>
      </c>
      <c r="H25" s="23">
        <f t="shared" si="4"/>
        <v>202</v>
      </c>
      <c r="I25" s="27">
        <v>0</v>
      </c>
      <c r="J25" s="23">
        <v>0</v>
      </c>
      <c r="K25" s="23">
        <v>0</v>
      </c>
      <c r="Q25" s="32"/>
      <c r="R25" s="32"/>
      <c r="S25" s="32"/>
      <c r="T25" s="55" t="s">
        <v>156</v>
      </c>
      <c r="U25" s="55">
        <f>COUNTIF($F$10:$F$19,"&gt;=38.8")+COUNTIF($F$21:$F$30,"&gt;=38.8")+COUNTIF($F$32:$F$42,"&gt;=38.8")-COUNTIF($F$10:$F$19,"&gt;49.8")-COUNTIF($F$21:$F$30,"&gt;49.8")-COUNTIF($F$32:$F$42,"&gt;49.8")</f>
        <v>4</v>
      </c>
      <c r="V25" s="32"/>
    </row>
    <row r="26" spans="1:22" x14ac:dyDescent="0.4">
      <c r="A26" s="31">
        <v>16</v>
      </c>
      <c r="B26" s="30">
        <v>18</v>
      </c>
      <c r="C26" s="23">
        <v>12.2</v>
      </c>
      <c r="D26" s="23">
        <f t="shared" si="3"/>
        <v>5.8000000000000007</v>
      </c>
      <c r="E26" s="29">
        <v>14.4</v>
      </c>
      <c r="F26" s="28">
        <v>23</v>
      </c>
      <c r="G26" s="23">
        <v>16</v>
      </c>
      <c r="H26" s="23">
        <f t="shared" si="4"/>
        <v>218</v>
      </c>
      <c r="I26" s="27">
        <v>2.83</v>
      </c>
      <c r="J26" s="23">
        <v>0</v>
      </c>
      <c r="K26" s="23">
        <v>0</v>
      </c>
      <c r="Q26" s="32"/>
      <c r="R26" s="32"/>
      <c r="S26" s="32"/>
      <c r="T26" s="48" t="s">
        <v>154</v>
      </c>
      <c r="U26" s="48">
        <f>COUNTIF($F$10:$F$19,"&gt;=28.6")+COUNTIF($F$21:$F$30,"&gt;=28.6")+COUNTIF($F$32:$F$42,"&gt;=28.6")-COUNTIF($F$10:$F$19,"&gt;38.7")-COUNTIF($F$21:$F$30,"&gt;38.7")-COUNTIF($F$32:$F$42,"&gt;38.7")</f>
        <v>12</v>
      </c>
      <c r="V26" s="32"/>
    </row>
    <row r="27" spans="1:22" x14ac:dyDescent="0.4">
      <c r="A27" s="31">
        <v>17</v>
      </c>
      <c r="B27" s="30">
        <v>20</v>
      </c>
      <c r="C27" s="23">
        <v>11.5</v>
      </c>
      <c r="D27" s="23">
        <f t="shared" si="3"/>
        <v>8.5</v>
      </c>
      <c r="E27" s="29">
        <v>15.1</v>
      </c>
      <c r="F27" s="28">
        <v>27</v>
      </c>
      <c r="G27" s="23">
        <v>1.6</v>
      </c>
      <c r="H27" s="23">
        <f t="shared" si="4"/>
        <v>219.6</v>
      </c>
      <c r="I27" s="27">
        <v>1.73</v>
      </c>
      <c r="J27" s="23">
        <v>0</v>
      </c>
      <c r="K27" s="23">
        <v>0</v>
      </c>
      <c r="Q27" s="32"/>
      <c r="R27" s="32"/>
      <c r="S27" s="32"/>
      <c r="T27" s="47" t="s">
        <v>153</v>
      </c>
      <c r="U27" s="47">
        <f>COUNTIF($F$10:$F$19,"&gt;=19.5")+COUNTIF($F$21:$F$30,"&gt;=19.5")+COUNTIF($F$32:$F$42,"&gt;=19.5")-COUNTIF($F$10:$F$19,"&gt;28.5")-COUNTIF($F$21:$F$30,"&gt;28.5")-COUNTIF($F$32:$F$42,"&gt;28.5")</f>
        <v>8</v>
      </c>
      <c r="V27" s="32"/>
    </row>
    <row r="28" spans="1:22" x14ac:dyDescent="0.4">
      <c r="A28" s="31">
        <v>18</v>
      </c>
      <c r="B28" s="30">
        <v>22.4</v>
      </c>
      <c r="C28" s="23">
        <v>15.3</v>
      </c>
      <c r="D28" s="23">
        <f t="shared" si="3"/>
        <v>7.0999999999999979</v>
      </c>
      <c r="E28" s="29">
        <v>18.2</v>
      </c>
      <c r="F28" s="28">
        <v>37</v>
      </c>
      <c r="G28" s="23">
        <v>5</v>
      </c>
      <c r="H28" s="23">
        <f t="shared" si="4"/>
        <v>224.6</v>
      </c>
      <c r="I28" s="27">
        <v>9.7799999999999994</v>
      </c>
      <c r="J28" s="23">
        <v>0</v>
      </c>
      <c r="K28" s="23">
        <v>0</v>
      </c>
      <c r="S28" s="32"/>
      <c r="T28" s="46" t="s">
        <v>152</v>
      </c>
      <c r="U28" s="46">
        <f>COUNTIF($F$10:$F$19,"&gt;=12")+COUNTIF($F$21:$F$30,"&gt;=12")+COUNTIF($F$32:$F$42,"&gt;=12")-COUNTIF($F$10:$F$19,"&gt;19.4")-COUNTIF($F$21:$F$30,"&gt;19.4")-COUNTIF($F$32:$F$42,"&gt;19.4")</f>
        <v>6</v>
      </c>
      <c r="V28" s="32"/>
    </row>
    <row r="29" spans="1:22" x14ac:dyDescent="0.4">
      <c r="A29" s="31">
        <v>19</v>
      </c>
      <c r="B29" s="30">
        <v>24</v>
      </c>
      <c r="C29" s="23">
        <v>13.4</v>
      </c>
      <c r="D29" s="23">
        <f t="shared" si="3"/>
        <v>10.6</v>
      </c>
      <c r="E29" s="29">
        <v>19.2</v>
      </c>
      <c r="F29" s="28">
        <v>29</v>
      </c>
      <c r="G29" s="23">
        <v>0</v>
      </c>
      <c r="H29" s="23">
        <f t="shared" si="4"/>
        <v>224.6</v>
      </c>
      <c r="I29" s="27">
        <v>12.55</v>
      </c>
      <c r="J29" s="23">
        <v>0</v>
      </c>
      <c r="K29" s="23">
        <v>0</v>
      </c>
      <c r="S29" s="32"/>
      <c r="T29" s="32" t="s">
        <v>151</v>
      </c>
      <c r="U29" s="32">
        <f>COUNTIF($F$10:$F$19,"&lt;=11.9")+COUNTIF($F$21:$F$30,"&lt;=11.9")+COUNTIF($F$32:$F$42,"&lt;=11.9")</f>
        <v>0</v>
      </c>
      <c r="V29" s="32"/>
    </row>
    <row r="30" spans="1:22" x14ac:dyDescent="0.4">
      <c r="A30" s="31">
        <v>20</v>
      </c>
      <c r="B30" s="30">
        <v>23.7</v>
      </c>
      <c r="C30" s="23">
        <v>14</v>
      </c>
      <c r="D30" s="23">
        <f t="shared" si="3"/>
        <v>9.6999999999999993</v>
      </c>
      <c r="E30" s="29">
        <v>18.899999999999999</v>
      </c>
      <c r="F30" s="28">
        <v>29</v>
      </c>
      <c r="G30" s="23">
        <v>0</v>
      </c>
      <c r="H30" s="23">
        <f t="shared" si="4"/>
        <v>224.6</v>
      </c>
      <c r="I30" s="27">
        <v>12.25</v>
      </c>
      <c r="J30" s="23">
        <v>0</v>
      </c>
      <c r="K30" s="23">
        <v>0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5">AVERAGE(B21:B30)</f>
        <v>19.899999999999999</v>
      </c>
      <c r="C31" s="17">
        <f t="shared" si="5"/>
        <v>11.67</v>
      </c>
      <c r="D31" s="17">
        <f t="shared" si="5"/>
        <v>8.23</v>
      </c>
      <c r="E31" s="39">
        <f t="shared" si="5"/>
        <v>15.37</v>
      </c>
      <c r="F31" s="18">
        <f t="shared" si="5"/>
        <v>31.2</v>
      </c>
      <c r="G31" s="17">
        <f t="shared" si="5"/>
        <v>12.52</v>
      </c>
      <c r="H31" s="17">
        <f>SUM(H30-H19)</f>
        <v>125.2</v>
      </c>
      <c r="I31" s="16">
        <f>AVERAGE(I21:I30)</f>
        <v>5.6310000000000002</v>
      </c>
      <c r="J31" s="17">
        <f>SUM(J21:J30)</f>
        <v>0</v>
      </c>
      <c r="K31" s="17">
        <f>AVERAGE(K21:K30)</f>
        <v>0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25.1</v>
      </c>
      <c r="C32" s="23">
        <v>13.1</v>
      </c>
      <c r="D32" s="23">
        <f t="shared" ref="D32:D42" si="6">SUM(B32-C32)</f>
        <v>12.000000000000002</v>
      </c>
      <c r="E32" s="29">
        <v>18.899999999999999</v>
      </c>
      <c r="F32" s="28">
        <v>23</v>
      </c>
      <c r="G32" s="23">
        <v>0</v>
      </c>
      <c r="H32" s="23">
        <f>H30+G32</f>
        <v>224.6</v>
      </c>
      <c r="I32" s="27">
        <v>12.1</v>
      </c>
      <c r="J32" s="23">
        <v>0</v>
      </c>
      <c r="K32" s="23">
        <v>0</v>
      </c>
      <c r="S32" s="32"/>
      <c r="T32" s="44" t="s">
        <v>149</v>
      </c>
      <c r="U32" s="44">
        <f>COUNTIF(K10:K19,"&gt;0")+COUNTIF(K21:K30,"&gt;0")+COUNTIF(K32:K42,"&gt;0")</f>
        <v>0</v>
      </c>
      <c r="V32" s="32"/>
    </row>
    <row r="33" spans="1:22" x14ac:dyDescent="0.4">
      <c r="A33" s="31">
        <v>22</v>
      </c>
      <c r="B33" s="30">
        <v>25.5</v>
      </c>
      <c r="C33" s="23">
        <v>13.4</v>
      </c>
      <c r="D33" s="23">
        <f t="shared" si="6"/>
        <v>12.1</v>
      </c>
      <c r="E33" s="29">
        <v>19.399999999999999</v>
      </c>
      <c r="F33" s="28">
        <v>23</v>
      </c>
      <c r="G33" s="23">
        <v>0</v>
      </c>
      <c r="H33" s="23">
        <f t="shared" ref="H33:H42" si="7">H32+G33</f>
        <v>224.6</v>
      </c>
      <c r="I33" s="27">
        <v>12.18</v>
      </c>
      <c r="J33" s="23">
        <v>0</v>
      </c>
      <c r="K33" s="23">
        <v>0</v>
      </c>
      <c r="S33" s="32"/>
      <c r="T33" s="43" t="s">
        <v>148</v>
      </c>
      <c r="U33" s="43">
        <f>COUNTIF(K10:K19,"&gt;=1")+COUNTIF(K21:K30,"&gt;=1")+COUNTIF(K32:K42,"&gt;=1")</f>
        <v>0</v>
      </c>
      <c r="V33" s="32"/>
    </row>
    <row r="34" spans="1:22" x14ac:dyDescent="0.4">
      <c r="A34" s="31">
        <v>23</v>
      </c>
      <c r="B34" s="30">
        <v>25.8</v>
      </c>
      <c r="C34" s="23">
        <v>14</v>
      </c>
      <c r="D34" s="23">
        <f t="shared" si="6"/>
        <v>11.8</v>
      </c>
      <c r="E34" s="29">
        <v>20.3</v>
      </c>
      <c r="F34" s="28">
        <v>14</v>
      </c>
      <c r="G34" s="23">
        <v>0</v>
      </c>
      <c r="H34" s="23">
        <f t="shared" si="7"/>
        <v>224.6</v>
      </c>
      <c r="I34" s="27">
        <v>11.2</v>
      </c>
      <c r="J34" s="23">
        <v>0</v>
      </c>
      <c r="K34" s="23">
        <v>0</v>
      </c>
      <c r="S34" s="32"/>
      <c r="T34" s="42" t="s">
        <v>147</v>
      </c>
      <c r="U34" s="42">
        <f>COUNTIF(K10:K19,"&gt;=5")+COUNTIF(K21:K30,"&gt;=5")+COUNTIF(K32:K42,"&gt;=5")</f>
        <v>0</v>
      </c>
      <c r="V34" s="32"/>
    </row>
    <row r="35" spans="1:22" x14ac:dyDescent="0.4">
      <c r="A35" s="31">
        <v>24</v>
      </c>
      <c r="B35" s="30">
        <v>23.1</v>
      </c>
      <c r="C35" s="23">
        <v>16.2</v>
      </c>
      <c r="D35" s="23">
        <f t="shared" si="6"/>
        <v>6.9000000000000021</v>
      </c>
      <c r="E35" s="29">
        <v>18.899999999999999</v>
      </c>
      <c r="F35" s="28">
        <v>29</v>
      </c>
      <c r="G35" s="23">
        <v>5.4</v>
      </c>
      <c r="H35" s="23">
        <f t="shared" si="7"/>
        <v>230</v>
      </c>
      <c r="I35" s="27">
        <v>3.35</v>
      </c>
      <c r="J35" s="23">
        <v>0</v>
      </c>
      <c r="K35" s="23">
        <v>0</v>
      </c>
      <c r="S35" s="32"/>
      <c r="T35" s="41" t="s">
        <v>146</v>
      </c>
      <c r="U35" s="41">
        <f>COUNTIF(K10:K19,"&gt;=10")+COUNTIF(K21:K30,"&gt;=10")+COUNTIF(K32:K42,"&gt;=10")</f>
        <v>0</v>
      </c>
      <c r="V35" s="32"/>
    </row>
    <row r="36" spans="1:22" x14ac:dyDescent="0.4">
      <c r="A36" s="31">
        <v>25</v>
      </c>
      <c r="B36" s="30">
        <v>20.8</v>
      </c>
      <c r="C36" s="23">
        <v>13.8</v>
      </c>
      <c r="D36" s="23">
        <f t="shared" si="6"/>
        <v>7</v>
      </c>
      <c r="E36" s="29">
        <v>16.3</v>
      </c>
      <c r="F36" s="28">
        <v>29</v>
      </c>
      <c r="G36" s="23">
        <v>16.2</v>
      </c>
      <c r="H36" s="23">
        <f t="shared" si="7"/>
        <v>246.2</v>
      </c>
      <c r="I36" s="27">
        <v>3.55</v>
      </c>
      <c r="J36" s="23">
        <v>0</v>
      </c>
      <c r="K36" s="23">
        <v>0</v>
      </c>
      <c r="S36" s="32"/>
      <c r="T36" s="40" t="s">
        <v>145</v>
      </c>
      <c r="U36" s="40">
        <f>COUNTIF(K10:K19,"&gt;=15")+COUNTIF(K21:K30,"&gt;=15")+COUNTIF(K32:K42,"&gt;=15")</f>
        <v>0</v>
      </c>
      <c r="V36" s="32"/>
    </row>
    <row r="37" spans="1:22" x14ac:dyDescent="0.4">
      <c r="A37" s="31">
        <v>26</v>
      </c>
      <c r="B37" s="30">
        <v>19.7</v>
      </c>
      <c r="C37" s="23">
        <v>13</v>
      </c>
      <c r="D37" s="23">
        <f t="shared" si="6"/>
        <v>6.6999999999999993</v>
      </c>
      <c r="E37" s="29">
        <v>15.8</v>
      </c>
      <c r="F37" s="28">
        <v>29</v>
      </c>
      <c r="G37" s="23">
        <v>16.399999999999999</v>
      </c>
      <c r="H37" s="23">
        <f t="shared" si="7"/>
        <v>262.59999999999997</v>
      </c>
      <c r="I37" s="27">
        <v>4.28</v>
      </c>
      <c r="J37" s="23">
        <v>0</v>
      </c>
      <c r="K37" s="23">
        <v>0</v>
      </c>
      <c r="S37" s="32"/>
      <c r="T37" s="38" t="s">
        <v>143</v>
      </c>
      <c r="U37" s="38">
        <f>COUNTIF(K10:K19,"&gt;=20")+COUNTIF(K21:K30,"&gt;=20")+COUNTIF(K32:K42,"&gt;=20")</f>
        <v>0</v>
      </c>
      <c r="V37" s="32"/>
    </row>
    <row r="38" spans="1:22" x14ac:dyDescent="0.4">
      <c r="A38" s="31">
        <v>27</v>
      </c>
      <c r="B38" s="30">
        <v>23.3</v>
      </c>
      <c r="C38" s="23">
        <v>12.4</v>
      </c>
      <c r="D38" s="23">
        <f t="shared" si="6"/>
        <v>10.9</v>
      </c>
      <c r="E38" s="29">
        <v>17</v>
      </c>
      <c r="F38" s="28">
        <v>21</v>
      </c>
      <c r="G38" s="23">
        <v>0.4</v>
      </c>
      <c r="H38" s="23">
        <f t="shared" si="7"/>
        <v>262.99999999999994</v>
      </c>
      <c r="I38" s="27">
        <v>7.3</v>
      </c>
      <c r="J38" s="23">
        <v>0</v>
      </c>
      <c r="K38" s="23">
        <v>0</v>
      </c>
      <c r="T38" s="37" t="s">
        <v>142</v>
      </c>
      <c r="U38" s="37">
        <f>COUNTIF(K10:K19,"&gt;=30")+COUNTIF(K21:K30,"&gt;=30")+COUNTIF(K32:K42,"&gt;=30")</f>
        <v>0</v>
      </c>
    </row>
    <row r="39" spans="1:22" x14ac:dyDescent="0.4">
      <c r="A39" s="31">
        <v>28</v>
      </c>
      <c r="B39" s="30">
        <v>20.2</v>
      </c>
      <c r="C39" s="23">
        <v>13.3</v>
      </c>
      <c r="D39" s="23">
        <f t="shared" si="6"/>
        <v>6.8999999999999986</v>
      </c>
      <c r="E39" s="29">
        <v>16.3</v>
      </c>
      <c r="F39" s="28">
        <v>32</v>
      </c>
      <c r="G39" s="23">
        <v>9.4</v>
      </c>
      <c r="H39" s="23">
        <f t="shared" si="7"/>
        <v>272.39999999999992</v>
      </c>
      <c r="I39" s="27">
        <v>3.77</v>
      </c>
      <c r="J39" s="23">
        <v>0</v>
      </c>
      <c r="K39" s="23">
        <v>0</v>
      </c>
      <c r="T39" s="36" t="s">
        <v>141</v>
      </c>
      <c r="U39" s="36">
        <f>COUNTIF(K10:K19,"&gt;=40")+COUNTIF(K21:K30,"&gt;=40")+COUNTIF(K32:K42,"&gt;=40")</f>
        <v>0</v>
      </c>
    </row>
    <row r="40" spans="1:22" x14ac:dyDescent="0.4">
      <c r="A40" s="31">
        <v>29</v>
      </c>
      <c r="B40" s="30">
        <v>23.4</v>
      </c>
      <c r="C40" s="23">
        <v>12.8</v>
      </c>
      <c r="D40" s="23">
        <f t="shared" si="6"/>
        <v>10.599999999999998</v>
      </c>
      <c r="E40" s="29">
        <v>17.7</v>
      </c>
      <c r="F40" s="28">
        <v>19</v>
      </c>
      <c r="G40" s="23">
        <v>0</v>
      </c>
      <c r="H40" s="23">
        <f t="shared" si="7"/>
        <v>272.39999999999992</v>
      </c>
      <c r="I40" s="27">
        <v>8.4499999999999993</v>
      </c>
      <c r="J40" s="23">
        <v>0</v>
      </c>
      <c r="K40" s="23">
        <v>0</v>
      </c>
      <c r="T40" s="35" t="s">
        <v>140</v>
      </c>
      <c r="U40" s="35">
        <f>COUNTIF(K10:K19,"&gt;=50")+COUNTIF(K21:K30,"&gt;=50")+COUNTIF(K32:K42,"&gt;=50")</f>
        <v>0</v>
      </c>
    </row>
    <row r="41" spans="1:22" x14ac:dyDescent="0.4">
      <c r="A41" s="31">
        <v>30</v>
      </c>
      <c r="B41" s="30">
        <v>23.6</v>
      </c>
      <c r="C41" s="23">
        <v>13.8</v>
      </c>
      <c r="D41" s="23">
        <f t="shared" si="6"/>
        <v>9.8000000000000007</v>
      </c>
      <c r="E41" s="29">
        <v>17.399999999999999</v>
      </c>
      <c r="F41" s="28">
        <v>68</v>
      </c>
      <c r="G41" s="23">
        <v>37.6</v>
      </c>
      <c r="H41" s="23">
        <f t="shared" si="7"/>
        <v>309.99999999999994</v>
      </c>
      <c r="I41" s="27">
        <v>6.33</v>
      </c>
      <c r="J41" s="23">
        <v>0</v>
      </c>
      <c r="K41" s="23">
        <v>0</v>
      </c>
      <c r="T41" s="34" t="s">
        <v>139</v>
      </c>
      <c r="U41" s="34">
        <f>COUNTIF(K10:K19,"&gt;=75")+COUNTIF(K21:K30,"&gt;=75")+COUNTIF(K32:K42,"&gt;=75")</f>
        <v>0</v>
      </c>
    </row>
    <row r="42" spans="1:22" x14ac:dyDescent="0.4">
      <c r="A42" s="26">
        <v>31</v>
      </c>
      <c r="B42" s="25">
        <v>19</v>
      </c>
      <c r="C42" s="21">
        <v>11.8</v>
      </c>
      <c r="D42" s="21">
        <f t="shared" si="6"/>
        <v>7.1999999999999993</v>
      </c>
      <c r="E42" s="21">
        <v>15.5</v>
      </c>
      <c r="F42" s="24">
        <v>31</v>
      </c>
      <c r="G42" s="21">
        <v>25.2</v>
      </c>
      <c r="H42" s="23">
        <f t="shared" si="7"/>
        <v>335.19999999999993</v>
      </c>
      <c r="I42" s="22">
        <v>2.67</v>
      </c>
      <c r="J42" s="21">
        <v>0</v>
      </c>
      <c r="K42" s="21">
        <v>0</v>
      </c>
      <c r="T42" s="33" t="s">
        <v>138</v>
      </c>
      <c r="U42" s="33">
        <f>COUNTIF(K10:K19,"&gt;=100")+COUNTIF(K21:K30,"&gt;=100")+COUNTIF(K32:K42,"&gt;=100")</f>
        <v>0</v>
      </c>
    </row>
    <row r="43" spans="1:22" x14ac:dyDescent="0.4">
      <c r="A43" s="20" t="s">
        <v>137</v>
      </c>
      <c r="B43" s="19">
        <f t="shared" ref="B43:G43" si="8">AVERAGE(B32:B42)</f>
        <v>22.681818181818183</v>
      </c>
      <c r="C43" s="17">
        <f t="shared" si="8"/>
        <v>13.41818181818182</v>
      </c>
      <c r="D43" s="17">
        <f t="shared" si="8"/>
        <v>9.2636363636363637</v>
      </c>
      <c r="E43" s="17">
        <f t="shared" si="8"/>
        <v>17.59090909090909</v>
      </c>
      <c r="F43" s="18">
        <f t="shared" si="8"/>
        <v>28.90909090909091</v>
      </c>
      <c r="G43" s="17">
        <f t="shared" si="8"/>
        <v>10.054545454545455</v>
      </c>
      <c r="H43" s="17">
        <f>SUM(H42-H30)</f>
        <v>110.59999999999994</v>
      </c>
      <c r="I43" s="16">
        <f>AVERAGE(I32:I42)</f>
        <v>6.8345454545454549</v>
      </c>
      <c r="J43" s="15">
        <f>SUM(J32:J42)</f>
        <v>0</v>
      </c>
      <c r="K43" s="15">
        <f>AVERAGE(K32:K42)</f>
        <v>0</v>
      </c>
    </row>
    <row r="44" spans="1:22" x14ac:dyDescent="0.4">
      <c r="A44" s="14" t="s">
        <v>136</v>
      </c>
      <c r="B44" s="13">
        <f t="shared" ref="B44:G44" si="9">AVERAGE(B10:B19,B21:B30,B32:B42)</f>
        <v>20.822580645161292</v>
      </c>
      <c r="C44" s="9">
        <f t="shared" si="9"/>
        <v>12.187096774193549</v>
      </c>
      <c r="D44" s="9">
        <f t="shared" si="9"/>
        <v>8.6354838709677413</v>
      </c>
      <c r="E44" s="9">
        <f t="shared" si="9"/>
        <v>15.941290322580643</v>
      </c>
      <c r="F44" s="12">
        <f t="shared" si="9"/>
        <v>29.258064516129032</v>
      </c>
      <c r="G44" s="9">
        <f t="shared" si="9"/>
        <v>10.812903225806449</v>
      </c>
      <c r="H44" s="11">
        <f>MAX(H10:H19,H21:H30,H32:H42)</f>
        <v>335.19999999999993</v>
      </c>
      <c r="I44" s="10">
        <f>AVERAGE(I10:I19,I21:I30,I32:I42)</f>
        <v>5.7712903225806453</v>
      </c>
      <c r="J44" s="9">
        <f>SUM(J10:J19,J21:J30,J32:J42)</f>
        <v>0</v>
      </c>
      <c r="K44" s="9">
        <f>AVERAGE(K10:K19,K21:K30,K32:K42)</f>
        <v>0</v>
      </c>
    </row>
  </sheetData>
  <protectedRanges>
    <protectedRange sqref="B21:C30 B32:C42 R16 V17 V8:V9 V12:V13 W1 AM1 BC1 A3 B10:C19 R7:R9 R14 E10:K19 E21:K30 E32:K42" name="Bereich1"/>
    <protectedRange sqref="L1" name="Bereich1_1"/>
    <protectedRange sqref="Q16" name="Bereich1_2"/>
  </protectedRanges>
  <mergeCells count="10">
    <mergeCell ref="B7:B9"/>
    <mergeCell ref="C7:C9"/>
    <mergeCell ref="A1:K1"/>
    <mergeCell ref="L1:V1"/>
    <mergeCell ref="W1:AL1"/>
    <mergeCell ref="AM1:BB1"/>
    <mergeCell ref="A3:K3"/>
    <mergeCell ref="B6:E6"/>
    <mergeCell ref="G6:H6"/>
    <mergeCell ref="J6:K6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4" manualBreakCount="4">
    <brk id="11" max="43" man="1"/>
    <brk id="22" max="43" man="1"/>
    <brk id="38" max="43" man="1"/>
    <brk id="53" max="4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9512F-F1BD-4921-A3A5-950D4167843A}">
  <dimension ref="A1:BB44"/>
  <sheetViews>
    <sheetView topLeftCell="A4" zoomScaleNormal="100" zoomScaleSheetLayoutView="100" workbookViewId="0">
      <selection activeCell="B10" sqref="B10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15" max="15" width="10.8203125" customWidth="1"/>
    <col min="21" max="21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1" t="s">
        <v>200</v>
      </c>
      <c r="K6" s="97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45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70"/>
      <c r="L7" s="32" t="s">
        <v>192</v>
      </c>
      <c r="M7" s="89" t="s">
        <v>100</v>
      </c>
      <c r="N7" s="57">
        <f>AVERAGE(B10:B19,B21:B30,B32:B42)</f>
        <v>19.677419354838712</v>
      </c>
      <c r="O7" s="56">
        <f>MAX(B10:B19,B21:B30,B32:B42)</f>
        <v>28.2</v>
      </c>
      <c r="P7" s="36">
        <f>MIN(B10:B19,B21:B30,B32:B42)</f>
        <v>14.1</v>
      </c>
      <c r="Q7" s="32"/>
      <c r="R7" s="34">
        <v>-2.92</v>
      </c>
      <c r="S7" s="63" t="s">
        <v>191</v>
      </c>
      <c r="T7" s="34" t="s">
        <v>190</v>
      </c>
      <c r="U7" s="34">
        <f>COUNTIF($C$10:$C$19,"&lt;=-10")+COUNTIF($C$21:$C$30,"&lt;=-10")+COUNTIF($C$32:$C$42,"&lt;=-10")</f>
        <v>0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AVERAGE(C10:C19,C21:C30,C32:C42)</f>
        <v>11.561290322580644</v>
      </c>
      <c r="O8" s="56">
        <f>MAX(C10:C19,C21:C30,C32:C42)</f>
        <v>17.8</v>
      </c>
      <c r="P8" s="36">
        <f>MIN(C10:C19,C21:C30,C32:C42)</f>
        <v>6.9</v>
      </c>
      <c r="Q8" s="32"/>
      <c r="R8" s="34">
        <v>-0.04</v>
      </c>
      <c r="S8" s="63" t="s">
        <v>185</v>
      </c>
      <c r="T8" s="36" t="s">
        <v>184</v>
      </c>
      <c r="U8" s="36">
        <f>COUNTIF($B$10:$B$19,"&lt;=0")+COUNTIF($B$21:$B$30,"&lt;=0")+COUNTIF($B$32:$B$42,"&lt;=0")</f>
        <v>0</v>
      </c>
      <c r="V8" s="34">
        <v>0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AVERAGE(E10:E19,E21:E30,E32:E42)</f>
        <v>15.029032258064516</v>
      </c>
      <c r="O9" s="56">
        <f>MAX(E10:E19,E21:E30,E32:E42)</f>
        <v>22.4</v>
      </c>
      <c r="P9" s="36">
        <f>MIN(E10:E19,E21:E30,E32:E42)</f>
        <v>11.3</v>
      </c>
      <c r="Q9" s="32"/>
      <c r="R9" s="34">
        <v>-1.77</v>
      </c>
      <c r="S9" s="63" t="s">
        <v>177</v>
      </c>
      <c r="T9" s="37" t="s">
        <v>176</v>
      </c>
      <c r="U9" s="37">
        <f>COUNTIF($C$10:$C$19,"&lt;0")+COUNTIF($C$21:$C$30,"&lt;0")+COUNTIF($C$32:$C$42,"&lt;0")</f>
        <v>0</v>
      </c>
      <c r="V9" s="34">
        <v>0</v>
      </c>
    </row>
    <row r="10" spans="1:54" x14ac:dyDescent="0.4">
      <c r="A10" s="31">
        <v>1</v>
      </c>
      <c r="B10" s="30">
        <v>14.1</v>
      </c>
      <c r="C10" s="23">
        <v>9.3000000000000007</v>
      </c>
      <c r="D10" s="23">
        <f t="shared" ref="D10:D19" si="0">SUM(B10-C10)</f>
        <v>4.7999999999999989</v>
      </c>
      <c r="E10" s="29">
        <v>11.6</v>
      </c>
      <c r="F10" s="28">
        <v>27</v>
      </c>
      <c r="G10" s="23">
        <v>14.2</v>
      </c>
      <c r="H10" s="23">
        <f>G10</f>
        <v>14.2</v>
      </c>
      <c r="I10" s="27">
        <v>0.33</v>
      </c>
      <c r="J10" s="23">
        <v>0</v>
      </c>
      <c r="K10" s="23">
        <v>0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COUNTIF($B$10:$B$19,"&lt;10")+COUNTIF($B$21:$B$30,"&lt;10")+COUNTIF($B$32:$B$42,"&lt;10")</f>
        <v>0</v>
      </c>
      <c r="V10" s="32"/>
    </row>
    <row r="11" spans="1:54" x14ac:dyDescent="0.4">
      <c r="A11" s="31">
        <v>2</v>
      </c>
      <c r="B11" s="30">
        <v>18.100000000000001</v>
      </c>
      <c r="C11" s="23">
        <v>8.6999999999999993</v>
      </c>
      <c r="D11" s="23">
        <f t="shared" si="0"/>
        <v>9.4000000000000021</v>
      </c>
      <c r="E11" s="29">
        <v>12.7</v>
      </c>
      <c r="F11" s="28">
        <v>23</v>
      </c>
      <c r="G11" s="23">
        <v>0.2</v>
      </c>
      <c r="H11" s="23">
        <f t="shared" ref="H11:H19" si="1">H10+G11</f>
        <v>14.399999999999999</v>
      </c>
      <c r="I11" s="27">
        <v>5.85</v>
      </c>
      <c r="J11" s="23">
        <v>0</v>
      </c>
      <c r="K11" s="23">
        <v>0</v>
      </c>
      <c r="L11" s="32" t="s">
        <v>173</v>
      </c>
      <c r="M11" s="89" t="s">
        <v>102</v>
      </c>
      <c r="N11" s="57">
        <f>AVERAGE(F10:F19,F21:F30,F32:F42)</f>
        <v>29.580645161290324</v>
      </c>
      <c r="O11" s="56">
        <f>MAX(F10:F19,F21:F30,F32:F42)</f>
        <v>63</v>
      </c>
      <c r="P11" s="36">
        <f>MIN(F10:F19,F21:F30,F32:F42)</f>
        <v>13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COUNTIF($B$10:$B$19,"&gt;=20")+COUNTIF($B$21:$B$30,"&gt;=20")+COUNTIF($B$32:$B$42,"&gt;=20")</f>
        <v>10</v>
      </c>
      <c r="V11" s="32"/>
    </row>
    <row r="12" spans="1:54" x14ac:dyDescent="0.4">
      <c r="A12" s="31">
        <v>3</v>
      </c>
      <c r="B12" s="30">
        <v>16.8</v>
      </c>
      <c r="C12" s="23">
        <v>9.8000000000000007</v>
      </c>
      <c r="D12" s="23">
        <f t="shared" si="0"/>
        <v>7</v>
      </c>
      <c r="E12" s="29">
        <v>12.5</v>
      </c>
      <c r="F12" s="28">
        <v>26</v>
      </c>
      <c r="G12" s="23">
        <v>9.6</v>
      </c>
      <c r="H12" s="23">
        <f t="shared" si="1"/>
        <v>24</v>
      </c>
      <c r="I12" s="27">
        <v>2.5499999999999998</v>
      </c>
      <c r="J12" s="23">
        <v>0</v>
      </c>
      <c r="K12" s="23">
        <v>0</v>
      </c>
      <c r="L12" s="32"/>
      <c r="M12" s="32"/>
      <c r="N12" s="57"/>
      <c r="O12" s="56"/>
      <c r="P12" s="36"/>
      <c r="Q12" s="32"/>
      <c r="S12" s="63" t="s">
        <v>170</v>
      </c>
      <c r="T12" s="48" t="s">
        <v>169</v>
      </c>
      <c r="U12" s="48">
        <f>COUNTIF($B$10:$B$19,"&gt;=25")+COUNTIF($B$21:$B$30,"&gt;=25")+COUNTIF($B$32:$B$42,"&gt;=25")</f>
        <v>5</v>
      </c>
      <c r="V12" s="34">
        <v>-5.7</v>
      </c>
    </row>
    <row r="13" spans="1:54" x14ac:dyDescent="0.4">
      <c r="A13" s="31">
        <v>4</v>
      </c>
      <c r="B13" s="30">
        <v>14.4</v>
      </c>
      <c r="C13" s="23">
        <v>10</v>
      </c>
      <c r="D13" s="23">
        <f t="shared" si="0"/>
        <v>4.4000000000000004</v>
      </c>
      <c r="E13" s="29">
        <v>11.9</v>
      </c>
      <c r="F13" s="28">
        <v>21</v>
      </c>
      <c r="G13" s="23">
        <v>10.8</v>
      </c>
      <c r="H13" s="23">
        <f t="shared" si="1"/>
        <v>34.799999999999997</v>
      </c>
      <c r="I13" s="27">
        <v>0.08</v>
      </c>
      <c r="J13" s="23">
        <v>0</v>
      </c>
      <c r="K13" s="23">
        <v>0</v>
      </c>
      <c r="L13" s="32" t="s">
        <v>168</v>
      </c>
      <c r="M13" s="89" t="s">
        <v>104</v>
      </c>
      <c r="N13" s="57">
        <f>AVERAGE(G10:G19,G21:G30,G32:G42)</f>
        <v>3.6064516129032267</v>
      </c>
      <c r="O13" s="56">
        <f>MAX(G10:G19,G21:G30,G32:G42)</f>
        <v>24.8</v>
      </c>
      <c r="P13" s="36">
        <f>MIN(G10:G19,G21:G30,G32:G42)</f>
        <v>0</v>
      </c>
      <c r="Q13" s="32"/>
      <c r="S13" s="63" t="s">
        <v>167</v>
      </c>
      <c r="T13" s="55" t="s">
        <v>166</v>
      </c>
      <c r="U13" s="55">
        <f>COUNTIF($B$10:$B$19,"&gt;=30")+COUNTIF($B$21:$B$30,"&gt;=30")+COUNTIF($B$32:$B$42,"&gt;=30")</f>
        <v>0</v>
      </c>
      <c r="V13" s="34">
        <v>-1.2</v>
      </c>
    </row>
    <row r="14" spans="1:54" x14ac:dyDescent="0.4">
      <c r="A14" s="31">
        <v>5</v>
      </c>
      <c r="B14" s="30">
        <v>17.7</v>
      </c>
      <c r="C14" s="23">
        <v>10.7</v>
      </c>
      <c r="D14" s="23">
        <f t="shared" si="0"/>
        <v>7</v>
      </c>
      <c r="E14" s="29">
        <v>13.7</v>
      </c>
      <c r="F14" s="28">
        <v>31</v>
      </c>
      <c r="G14" s="23">
        <v>7.4</v>
      </c>
      <c r="H14" s="23">
        <f t="shared" si="1"/>
        <v>42.199999999999996</v>
      </c>
      <c r="I14" s="27">
        <v>4.63</v>
      </c>
      <c r="J14" s="23">
        <v>0</v>
      </c>
      <c r="K14" s="23">
        <v>0</v>
      </c>
      <c r="L14" s="32" t="s">
        <v>165</v>
      </c>
      <c r="M14" s="89" t="s">
        <v>104</v>
      </c>
      <c r="N14" s="64"/>
      <c r="O14" s="32"/>
      <c r="P14" s="32"/>
      <c r="Q14" s="40">
        <f>MAX(H10:H19,H21:H30,H32:H42)</f>
        <v>111.80000000000003</v>
      </c>
      <c r="R14" s="34">
        <v>-31.2</v>
      </c>
      <c r="S14" s="63" t="s">
        <v>164</v>
      </c>
      <c r="T14" s="59" t="s">
        <v>163</v>
      </c>
      <c r="U14" s="59">
        <f>COUNTIF($C$10:$C$19,"&gt;=20")+COUNTIF($C$21:$C$30,"&gt;=20")+COUNTIF($C$32:$C$42,"&gt;=20")</f>
        <v>0</v>
      </c>
      <c r="V14" s="60"/>
    </row>
    <row r="15" spans="1:54" x14ac:dyDescent="0.4">
      <c r="A15" s="31">
        <v>6</v>
      </c>
      <c r="B15" s="30">
        <v>20.7</v>
      </c>
      <c r="C15" s="23">
        <v>12.3</v>
      </c>
      <c r="D15" s="23">
        <f t="shared" si="0"/>
        <v>8.3999999999999986</v>
      </c>
      <c r="E15" s="29">
        <v>15.7</v>
      </c>
      <c r="F15" s="28">
        <v>42</v>
      </c>
      <c r="G15" s="23">
        <v>0.2</v>
      </c>
      <c r="H15" s="23">
        <f t="shared" si="1"/>
        <v>42.4</v>
      </c>
      <c r="I15" s="27">
        <v>4.4800000000000004</v>
      </c>
      <c r="J15" s="23">
        <v>0</v>
      </c>
      <c r="K15" s="23">
        <v>0</v>
      </c>
      <c r="L15" s="32"/>
      <c r="M15" s="32"/>
      <c r="N15" s="57"/>
      <c r="O15" s="56"/>
      <c r="P15" s="36"/>
      <c r="S15" s="32"/>
      <c r="T15" s="32"/>
      <c r="U15" s="32"/>
      <c r="V15" s="60"/>
    </row>
    <row r="16" spans="1:54" x14ac:dyDescent="0.4">
      <c r="A16" s="31">
        <v>7</v>
      </c>
      <c r="B16" s="30">
        <v>18.600000000000001</v>
      </c>
      <c r="C16" s="23">
        <v>10.5</v>
      </c>
      <c r="D16" s="23">
        <f t="shared" si="0"/>
        <v>8.1000000000000014</v>
      </c>
      <c r="E16" s="29">
        <v>13.8</v>
      </c>
      <c r="F16" s="28">
        <v>40</v>
      </c>
      <c r="G16" s="23">
        <v>24.8</v>
      </c>
      <c r="H16" s="23">
        <f t="shared" si="1"/>
        <v>67.2</v>
      </c>
      <c r="I16" s="27">
        <v>0.98</v>
      </c>
      <c r="J16" s="23">
        <v>0</v>
      </c>
      <c r="K16" s="23">
        <v>0</v>
      </c>
      <c r="L16" s="32" t="s">
        <v>162</v>
      </c>
      <c r="M16" s="89" t="s">
        <v>105</v>
      </c>
      <c r="N16" s="57">
        <f>AVERAGE(I10:I19,I21:I30,I32:I42)</f>
        <v>5.5264516129032248</v>
      </c>
      <c r="O16" s="62">
        <f>MAX(I10:I19,I21:I30,I32:I42)</f>
        <v>11.43</v>
      </c>
      <c r="P16" s="61">
        <f>MIN(I10:I19,I21:I30,I32:I42)</f>
        <v>0.08</v>
      </c>
      <c r="Q16" s="94">
        <v>171.45</v>
      </c>
      <c r="R16" s="34">
        <v>-56.55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18.100000000000001</v>
      </c>
      <c r="C17" s="23">
        <v>10.7</v>
      </c>
      <c r="D17" s="23">
        <f t="shared" si="0"/>
        <v>7.4000000000000021</v>
      </c>
      <c r="E17" s="29">
        <v>13.5</v>
      </c>
      <c r="F17" s="28">
        <v>42</v>
      </c>
      <c r="G17" s="23">
        <v>1.2</v>
      </c>
      <c r="H17" s="23">
        <f t="shared" si="1"/>
        <v>68.400000000000006</v>
      </c>
      <c r="I17" s="27">
        <v>4.8499999999999996</v>
      </c>
      <c r="J17" s="23">
        <v>0</v>
      </c>
      <c r="K17" s="23">
        <v>0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COUNTIF(G10:G19,"&gt;=1")+COUNTIF(G21:G30,"&gt;=1")+COUNTIF(G32:G42,"&gt;=1")</f>
        <v>11</v>
      </c>
      <c r="V17" s="34">
        <v>-1.3</v>
      </c>
    </row>
    <row r="18" spans="1:22" x14ac:dyDescent="0.4">
      <c r="A18" s="31">
        <v>9</v>
      </c>
      <c r="B18" s="30">
        <v>18.600000000000001</v>
      </c>
      <c r="C18" s="23">
        <v>9.6</v>
      </c>
      <c r="D18" s="23">
        <f t="shared" si="0"/>
        <v>9.0000000000000018</v>
      </c>
      <c r="E18" s="29">
        <v>14.3</v>
      </c>
      <c r="F18" s="28">
        <v>23</v>
      </c>
      <c r="G18" s="23">
        <v>0</v>
      </c>
      <c r="H18" s="23">
        <f t="shared" si="1"/>
        <v>68.400000000000006</v>
      </c>
      <c r="I18" s="27">
        <v>6.72</v>
      </c>
      <c r="J18" s="23">
        <v>0</v>
      </c>
      <c r="K18" s="23">
        <v>0</v>
      </c>
      <c r="L18" s="32" t="s">
        <v>159</v>
      </c>
      <c r="M18" s="89" t="s">
        <v>108</v>
      </c>
      <c r="N18" s="57">
        <f>AVERAGE(J10:J19,J21:J30,J32:J42)</f>
        <v>0</v>
      </c>
      <c r="O18" s="56">
        <f>MAX(J10:J19,J21:J30,J32:J42)</f>
        <v>0</v>
      </c>
      <c r="P18" s="36">
        <f>MIN(J10:J19,J21:J30,J32:J42)</f>
        <v>0</v>
      </c>
      <c r="Q18" s="58">
        <f>SUM(J10:J19,J21:J30,J32:J42)</f>
        <v>0</v>
      </c>
      <c r="R18" s="32"/>
      <c r="S18" s="32"/>
      <c r="T18" s="85" t="s">
        <v>224</v>
      </c>
      <c r="U18" s="85">
        <f>COUNTIF(G10:G19,"&gt;=10")+COUNTIF(G21:G30,"&gt;=10")+COUNTIF(G32:G42,"&gt;=10")</f>
        <v>6</v>
      </c>
      <c r="V18" s="32"/>
    </row>
    <row r="19" spans="1:22" x14ac:dyDescent="0.4">
      <c r="A19" s="31">
        <v>10</v>
      </c>
      <c r="B19" s="30">
        <v>24.7</v>
      </c>
      <c r="C19" s="23">
        <v>11.9</v>
      </c>
      <c r="D19" s="23">
        <f t="shared" si="0"/>
        <v>12.799999999999999</v>
      </c>
      <c r="E19" s="29">
        <v>17.8</v>
      </c>
      <c r="F19" s="28">
        <v>29</v>
      </c>
      <c r="G19" s="23">
        <v>0</v>
      </c>
      <c r="H19" s="23">
        <f t="shared" si="1"/>
        <v>68.400000000000006</v>
      </c>
      <c r="I19" s="27">
        <v>11.43</v>
      </c>
      <c r="J19" s="23">
        <v>0</v>
      </c>
      <c r="K19" s="23">
        <v>0</v>
      </c>
      <c r="L19" s="32" t="s">
        <v>157</v>
      </c>
      <c r="M19" s="89" t="s">
        <v>108</v>
      </c>
      <c r="N19" s="57">
        <f>AVERAGE(K10:K19,K21:K30,K32:K42)</f>
        <v>0</v>
      </c>
      <c r="O19" s="56">
        <f>MAX(K10:K19,K21:K30,K32:K42)</f>
        <v>0</v>
      </c>
      <c r="P19" s="36">
        <f>MIN(K10:K19,K21:K30,K32:K42)</f>
        <v>0</v>
      </c>
      <c r="S19" s="32"/>
      <c r="T19" s="86" t="s">
        <v>225</v>
      </c>
      <c r="U19" s="86">
        <f>COUNTIF(G10:G19,"&gt;=20")+COUNTIF(G21:G30,"&gt;=20")+COUNTIF(G32:G42,"&gt;=20")</f>
        <v>1</v>
      </c>
      <c r="V19" s="32"/>
    </row>
    <row r="20" spans="1:22" x14ac:dyDescent="0.4">
      <c r="A20" s="54" t="s">
        <v>155</v>
      </c>
      <c r="B20" s="53">
        <f t="shared" ref="B20:G20" si="2">AVERAGE(B10:B19)</f>
        <v>18.18</v>
      </c>
      <c r="C20" s="49">
        <f t="shared" si="2"/>
        <v>10.35</v>
      </c>
      <c r="D20" s="49">
        <f t="shared" si="2"/>
        <v>7.83</v>
      </c>
      <c r="E20" s="52">
        <f t="shared" si="2"/>
        <v>13.75</v>
      </c>
      <c r="F20" s="51">
        <f t="shared" si="2"/>
        <v>30.4</v>
      </c>
      <c r="G20" s="49">
        <f t="shared" si="2"/>
        <v>6.8400000000000007</v>
      </c>
      <c r="H20" s="49">
        <f>MAX(H10:H19)</f>
        <v>68.400000000000006</v>
      </c>
      <c r="I20" s="50">
        <f>AVERAGE(I10:I19)</f>
        <v>4.1899999999999995</v>
      </c>
      <c r="J20" s="49">
        <f>SUM(J10:J19)</f>
        <v>0</v>
      </c>
      <c r="K20" s="49">
        <f>AVERAGE(K10:K19)</f>
        <v>0</v>
      </c>
      <c r="Q20" s="32"/>
      <c r="R20" s="32"/>
      <c r="S20" s="32"/>
      <c r="T20" s="87" t="s">
        <v>226</v>
      </c>
      <c r="U20" s="87">
        <f>COUNTIF(G10:G19,"&gt;=50")+COUNTIF(G21:G30,"&gt;=50")+COUNTIF(G32:G42,"&gt;=50")</f>
        <v>0</v>
      </c>
      <c r="V20" s="32"/>
    </row>
    <row r="21" spans="1:22" x14ac:dyDescent="0.4">
      <c r="A21" s="31">
        <v>11</v>
      </c>
      <c r="B21" s="30">
        <v>25.6</v>
      </c>
      <c r="C21" s="23">
        <v>14.1</v>
      </c>
      <c r="D21" s="23">
        <f t="shared" ref="D21:D30" si="3">SUM(B21-C21)</f>
        <v>11.500000000000002</v>
      </c>
      <c r="E21" s="29">
        <v>20.100000000000001</v>
      </c>
      <c r="F21" s="28">
        <v>19</v>
      </c>
      <c r="G21" s="23">
        <v>1</v>
      </c>
      <c r="H21" s="23">
        <f>H19+G21</f>
        <v>69.400000000000006</v>
      </c>
      <c r="I21" s="27">
        <v>10.5</v>
      </c>
      <c r="J21" s="23">
        <v>0</v>
      </c>
      <c r="K21" s="23">
        <v>0</v>
      </c>
      <c r="Q21" s="32"/>
      <c r="R21" s="32"/>
      <c r="S21" s="32"/>
      <c r="V21" s="32"/>
    </row>
    <row r="22" spans="1:22" x14ac:dyDescent="0.4">
      <c r="A22" s="31">
        <v>12</v>
      </c>
      <c r="B22" s="30">
        <v>28.2</v>
      </c>
      <c r="C22" s="23">
        <v>15.9</v>
      </c>
      <c r="D22" s="23">
        <f t="shared" si="3"/>
        <v>12.299999999999999</v>
      </c>
      <c r="E22" s="29">
        <v>15.1</v>
      </c>
      <c r="F22" s="28">
        <v>63</v>
      </c>
      <c r="G22" s="23">
        <v>12.4</v>
      </c>
      <c r="H22" s="23">
        <f t="shared" ref="H22:H30" si="4">H21+G22</f>
        <v>81.800000000000011</v>
      </c>
      <c r="I22" s="27">
        <v>10.35</v>
      </c>
      <c r="J22" s="23">
        <v>0</v>
      </c>
      <c r="K22" s="23">
        <v>0</v>
      </c>
      <c r="Q22" s="32"/>
      <c r="R22" s="32"/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27.1</v>
      </c>
      <c r="C23" s="23">
        <v>15.1</v>
      </c>
      <c r="D23" s="23">
        <f t="shared" si="3"/>
        <v>12.000000000000002</v>
      </c>
      <c r="E23" s="29">
        <v>20.8</v>
      </c>
      <c r="F23" s="28">
        <v>18</v>
      </c>
      <c r="G23" s="23">
        <v>0</v>
      </c>
      <c r="H23" s="23">
        <f t="shared" si="4"/>
        <v>81.800000000000011</v>
      </c>
      <c r="I23" s="27">
        <v>11.02</v>
      </c>
      <c r="J23" s="23">
        <v>0</v>
      </c>
      <c r="K23" s="23">
        <v>0</v>
      </c>
      <c r="Q23" s="32"/>
      <c r="R23" s="32"/>
      <c r="S23" s="32"/>
      <c r="T23" s="59" t="s">
        <v>160</v>
      </c>
      <c r="U23" s="59">
        <f>COUNTIF($F$10:$F$19,"&gt;=61.8")+COUNTIF($F$21:$F$30,"&gt;=61.8")+COUNTIF($F$32:$F$42,"&gt;=61.8")</f>
        <v>1</v>
      </c>
      <c r="V23" s="32"/>
    </row>
    <row r="24" spans="1:22" x14ac:dyDescent="0.4">
      <c r="A24" s="31">
        <v>14</v>
      </c>
      <c r="B24" s="30">
        <v>28.1</v>
      </c>
      <c r="C24" s="23">
        <v>17.2</v>
      </c>
      <c r="D24" s="23">
        <f t="shared" si="3"/>
        <v>10.900000000000002</v>
      </c>
      <c r="E24" s="29">
        <v>22.4</v>
      </c>
      <c r="F24" s="28">
        <v>23</v>
      </c>
      <c r="G24" s="23">
        <v>0</v>
      </c>
      <c r="H24" s="23">
        <f t="shared" si="4"/>
        <v>81.800000000000011</v>
      </c>
      <c r="I24" s="27">
        <v>11.23</v>
      </c>
      <c r="J24" s="23">
        <v>0</v>
      </c>
      <c r="K24" s="23">
        <v>0</v>
      </c>
      <c r="Q24" s="32"/>
      <c r="R24" s="32"/>
      <c r="S24" s="32"/>
      <c r="T24" s="56" t="s">
        <v>158</v>
      </c>
      <c r="U24" s="56">
        <f>COUNTIF($F$10:$F$19,"&gt;=49.9")+COUNTIF($F$21:$F$30,"&gt;=49.9")+COUNTIF($F$32:$F$42,"&gt;=49.9")-COUNTIF($F$10:$F$19,"&gt;61.7")-COUNTIF($F$21:$F$30,"&gt;61.7")-COUNTIF($F$32:$F$42,"&gt;61.7")</f>
        <v>0</v>
      </c>
      <c r="V24" s="32"/>
    </row>
    <row r="25" spans="1:22" x14ac:dyDescent="0.4">
      <c r="A25" s="31">
        <v>15</v>
      </c>
      <c r="B25" s="30">
        <v>27.7</v>
      </c>
      <c r="C25" s="23">
        <v>17.8</v>
      </c>
      <c r="D25" s="23">
        <f t="shared" si="3"/>
        <v>9.8999999999999986</v>
      </c>
      <c r="E25" s="29">
        <v>22.2</v>
      </c>
      <c r="F25" s="28">
        <v>42</v>
      </c>
      <c r="G25" s="23">
        <v>0</v>
      </c>
      <c r="H25" s="23">
        <f t="shared" si="4"/>
        <v>81.800000000000011</v>
      </c>
      <c r="I25" s="27">
        <v>9.4700000000000006</v>
      </c>
      <c r="J25" s="23">
        <v>0</v>
      </c>
      <c r="K25" s="23">
        <v>0</v>
      </c>
      <c r="Q25" s="32"/>
      <c r="R25" s="32"/>
      <c r="S25" s="32"/>
      <c r="T25" s="55" t="s">
        <v>156</v>
      </c>
      <c r="U25" s="55">
        <f>COUNTIF($F$10:$F$19,"&gt;=38.8")+COUNTIF($F$21:$F$30,"&gt;=38.8")+COUNTIF($F$32:$F$42,"&gt;=38.8")-COUNTIF($F$10:$F$19,"&gt;49.8")-COUNTIF($F$21:$F$30,"&gt;49.8")-COUNTIF($F$32:$F$42,"&gt;49.8")</f>
        <v>6</v>
      </c>
      <c r="V25" s="32"/>
    </row>
    <row r="26" spans="1:22" x14ac:dyDescent="0.4">
      <c r="A26" s="31">
        <v>16</v>
      </c>
      <c r="B26" s="30">
        <v>20.100000000000001</v>
      </c>
      <c r="C26" s="23">
        <v>12.9</v>
      </c>
      <c r="D26" s="23">
        <f t="shared" si="3"/>
        <v>7.2000000000000011</v>
      </c>
      <c r="E26" s="29">
        <v>16.100000000000001</v>
      </c>
      <c r="F26" s="28">
        <v>45</v>
      </c>
      <c r="G26" s="23">
        <v>10.4</v>
      </c>
      <c r="H26" s="23">
        <f t="shared" si="4"/>
        <v>92.200000000000017</v>
      </c>
      <c r="I26" s="27">
        <v>1.07</v>
      </c>
      <c r="J26" s="23">
        <v>0</v>
      </c>
      <c r="K26" s="23">
        <v>0</v>
      </c>
      <c r="Q26" s="32"/>
      <c r="R26" s="32"/>
      <c r="S26" s="32"/>
      <c r="T26" s="48" t="s">
        <v>154</v>
      </c>
      <c r="U26" s="48">
        <f>COUNTIF($F$10:$F$19,"&gt;=28.6")+COUNTIF($F$21:$F$30,"&gt;=28.6")+COUNTIF($F$32:$F$42,"&gt;=28.6")-COUNTIF($F$10:$F$19,"&gt;38.7")-COUNTIF($F$21:$F$30,"&gt;38.7")-COUNTIF($F$32:$F$42,"&gt;38.7")</f>
        <v>7</v>
      </c>
      <c r="V26" s="32"/>
    </row>
    <row r="27" spans="1:22" x14ac:dyDescent="0.4">
      <c r="A27" s="31">
        <v>17</v>
      </c>
      <c r="B27" s="30">
        <v>17.2</v>
      </c>
      <c r="C27" s="23">
        <v>10.5</v>
      </c>
      <c r="D27" s="23">
        <f t="shared" si="3"/>
        <v>6.6999999999999993</v>
      </c>
      <c r="E27" s="29">
        <v>13.6</v>
      </c>
      <c r="F27" s="28">
        <v>27</v>
      </c>
      <c r="G27" s="23">
        <v>3.8</v>
      </c>
      <c r="H27" s="23">
        <f t="shared" si="4"/>
        <v>96.000000000000014</v>
      </c>
      <c r="I27" s="27">
        <v>3.85</v>
      </c>
      <c r="J27" s="23">
        <v>0</v>
      </c>
      <c r="K27" s="23">
        <v>0</v>
      </c>
      <c r="Q27" s="32"/>
      <c r="R27" s="32"/>
      <c r="S27" s="32"/>
      <c r="T27" s="47" t="s">
        <v>153</v>
      </c>
      <c r="U27" s="47">
        <f>COUNTIF($F$10:$F$19,"&gt;=19.5")+COUNTIF($F$21:$F$30,"&gt;=19.5")+COUNTIF($F$32:$F$42,"&gt;=19.5")-COUNTIF($F$10:$F$19,"&gt;28.5")-COUNTIF($F$21:$F$30,"&gt;28.5")-COUNTIF($F$32:$F$42,"&gt;28.5")</f>
        <v>12</v>
      </c>
      <c r="V27" s="32"/>
    </row>
    <row r="28" spans="1:22" x14ac:dyDescent="0.4">
      <c r="A28" s="31">
        <v>18</v>
      </c>
      <c r="B28" s="30">
        <v>19.600000000000001</v>
      </c>
      <c r="C28" s="23">
        <v>10.8</v>
      </c>
      <c r="D28" s="23">
        <f t="shared" si="3"/>
        <v>8.8000000000000007</v>
      </c>
      <c r="E28" s="29">
        <v>14.6</v>
      </c>
      <c r="F28" s="28">
        <v>19</v>
      </c>
      <c r="G28" s="23">
        <v>0</v>
      </c>
      <c r="H28" s="23">
        <f t="shared" si="4"/>
        <v>96.000000000000014</v>
      </c>
      <c r="I28" s="27">
        <v>8.1</v>
      </c>
      <c r="J28" s="23">
        <v>0</v>
      </c>
      <c r="K28" s="23">
        <v>0</v>
      </c>
      <c r="S28" s="32"/>
      <c r="T28" s="46" t="s">
        <v>152</v>
      </c>
      <c r="U28" s="46">
        <f>COUNTIF($F$10:$F$19,"&gt;=12")+COUNTIF($F$21:$F$30,"&gt;=12")+COUNTIF($F$32:$F$42,"&gt;=12")-COUNTIF($F$10:$F$19,"&gt;19.4")-COUNTIF($F$21:$F$30,"&gt;19.4")-COUNTIF($F$32:$F$42,"&gt;19.4")</f>
        <v>5</v>
      </c>
      <c r="V28" s="32"/>
    </row>
    <row r="29" spans="1:22" x14ac:dyDescent="0.4">
      <c r="A29" s="31">
        <v>19</v>
      </c>
      <c r="B29" s="30">
        <v>19.100000000000001</v>
      </c>
      <c r="C29" s="23">
        <v>12.4</v>
      </c>
      <c r="D29" s="23">
        <f t="shared" si="3"/>
        <v>6.7000000000000011</v>
      </c>
      <c r="E29" s="29">
        <v>15.3</v>
      </c>
      <c r="F29" s="28">
        <v>13</v>
      </c>
      <c r="G29" s="23">
        <v>0</v>
      </c>
      <c r="H29" s="23">
        <f t="shared" si="4"/>
        <v>96.000000000000014</v>
      </c>
      <c r="I29" s="27">
        <v>1.62</v>
      </c>
      <c r="J29" s="23">
        <v>0</v>
      </c>
      <c r="K29" s="23">
        <v>0</v>
      </c>
      <c r="S29" s="32"/>
      <c r="T29" s="32" t="s">
        <v>151</v>
      </c>
      <c r="U29" s="32">
        <f>COUNTIF($F$10:$F$19,"&lt;=11.9")+COUNTIF($F$21:$F$30,"&lt;=11.9")+COUNTIF($F$32:$F$42,"&lt;=11.9")</f>
        <v>0</v>
      </c>
      <c r="V29" s="32"/>
    </row>
    <row r="30" spans="1:22" x14ac:dyDescent="0.4">
      <c r="A30" s="31">
        <v>20</v>
      </c>
      <c r="B30" s="30">
        <v>22</v>
      </c>
      <c r="C30" s="23">
        <v>13.4</v>
      </c>
      <c r="D30" s="23">
        <f t="shared" si="3"/>
        <v>8.6</v>
      </c>
      <c r="E30" s="29">
        <v>17.2</v>
      </c>
      <c r="F30" s="28">
        <v>18</v>
      </c>
      <c r="G30" s="23">
        <v>0</v>
      </c>
      <c r="H30" s="23">
        <f t="shared" si="4"/>
        <v>96.000000000000014</v>
      </c>
      <c r="I30" s="27">
        <v>6.17</v>
      </c>
      <c r="J30" s="23">
        <v>0</v>
      </c>
      <c r="K30" s="23">
        <v>0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5">AVERAGE(B21:B30)</f>
        <v>23.469999999999995</v>
      </c>
      <c r="C31" s="17">
        <f t="shared" si="5"/>
        <v>14.01</v>
      </c>
      <c r="D31" s="17">
        <f t="shared" si="5"/>
        <v>9.4599999999999991</v>
      </c>
      <c r="E31" s="39">
        <f t="shared" si="5"/>
        <v>17.740000000000002</v>
      </c>
      <c r="F31" s="18">
        <f t="shared" si="5"/>
        <v>28.7</v>
      </c>
      <c r="G31" s="17">
        <f t="shared" si="5"/>
        <v>2.7600000000000002</v>
      </c>
      <c r="H31" s="17">
        <f>SUM(H30-H19)</f>
        <v>27.600000000000009</v>
      </c>
      <c r="I31" s="16">
        <f>AVERAGE(I21:I30)</f>
        <v>7.338000000000001</v>
      </c>
      <c r="J31" s="17">
        <f>SUM(J21:J30)</f>
        <v>0</v>
      </c>
      <c r="K31" s="17">
        <f>AVERAGE(K21:K30)</f>
        <v>0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24.6</v>
      </c>
      <c r="C32" s="23">
        <v>13.8</v>
      </c>
      <c r="D32" s="23">
        <f t="shared" ref="D32:D42" si="6">SUM(B32-C32)</f>
        <v>10.8</v>
      </c>
      <c r="E32" s="29">
        <v>19</v>
      </c>
      <c r="F32" s="28">
        <v>35</v>
      </c>
      <c r="G32" s="23">
        <v>0</v>
      </c>
      <c r="H32" s="23">
        <f>H30+G32</f>
        <v>96.000000000000014</v>
      </c>
      <c r="I32" s="27">
        <v>10.92</v>
      </c>
      <c r="J32" s="23">
        <v>0</v>
      </c>
      <c r="K32" s="23">
        <v>0</v>
      </c>
      <c r="S32" s="32"/>
      <c r="T32" s="44" t="s">
        <v>149</v>
      </c>
      <c r="U32" s="44">
        <f>COUNTIF(K10:K19,"&gt;0")+COUNTIF(K21:K30,"&gt;0")+COUNTIF(K32:K42,"&gt;0")</f>
        <v>0</v>
      </c>
      <c r="V32" s="32"/>
    </row>
    <row r="33" spans="1:22" x14ac:dyDescent="0.4">
      <c r="A33" s="31">
        <v>22</v>
      </c>
      <c r="B33" s="30">
        <v>19.399999999999999</v>
      </c>
      <c r="C33" s="23">
        <v>12.9</v>
      </c>
      <c r="D33" s="23">
        <f t="shared" si="6"/>
        <v>6.4999999999999982</v>
      </c>
      <c r="E33" s="29">
        <v>15.9</v>
      </c>
      <c r="F33" s="28">
        <v>39</v>
      </c>
      <c r="G33" s="23">
        <v>15</v>
      </c>
      <c r="H33" s="23">
        <f t="shared" ref="H33:H42" si="7">H32+G33</f>
        <v>111.00000000000001</v>
      </c>
      <c r="I33" s="27">
        <v>1.85</v>
      </c>
      <c r="J33" s="23">
        <v>0</v>
      </c>
      <c r="K33" s="23">
        <v>0</v>
      </c>
      <c r="S33" s="32"/>
      <c r="T33" s="43" t="s">
        <v>148</v>
      </c>
      <c r="U33" s="43">
        <f>COUNTIF(K10:K19,"&gt;=1")+COUNTIF(K21:K30,"&gt;=1")+COUNTIF(K32:K42,"&gt;=1")</f>
        <v>0</v>
      </c>
      <c r="V33" s="32"/>
    </row>
    <row r="34" spans="1:22" x14ac:dyDescent="0.4">
      <c r="A34" s="31">
        <v>23</v>
      </c>
      <c r="B34" s="30">
        <v>18</v>
      </c>
      <c r="C34" s="23">
        <v>11.2</v>
      </c>
      <c r="D34" s="23">
        <f t="shared" si="6"/>
        <v>6.8000000000000007</v>
      </c>
      <c r="E34" s="29">
        <v>14.4</v>
      </c>
      <c r="F34" s="28">
        <v>31</v>
      </c>
      <c r="G34" s="23">
        <v>0.2</v>
      </c>
      <c r="H34" s="23">
        <f t="shared" si="7"/>
        <v>111.20000000000002</v>
      </c>
      <c r="I34" s="27">
        <v>4.62</v>
      </c>
      <c r="J34" s="23">
        <v>0</v>
      </c>
      <c r="K34" s="23">
        <v>0</v>
      </c>
      <c r="S34" s="32"/>
      <c r="T34" s="42" t="s">
        <v>147</v>
      </c>
      <c r="U34" s="42">
        <f>COUNTIF(K10:K19,"&gt;=5")+COUNTIF(K21:K30,"&gt;=5")+COUNTIF(K32:K42,"&gt;=5")</f>
        <v>0</v>
      </c>
      <c r="V34" s="32"/>
    </row>
    <row r="35" spans="1:22" x14ac:dyDescent="0.4">
      <c r="A35" s="31">
        <v>24</v>
      </c>
      <c r="B35" s="30">
        <v>15.6</v>
      </c>
      <c r="C35" s="23">
        <v>12.5</v>
      </c>
      <c r="D35" s="23">
        <f t="shared" si="6"/>
        <v>3.0999999999999996</v>
      </c>
      <c r="E35" s="29">
        <v>13.5</v>
      </c>
      <c r="F35" s="28">
        <v>37</v>
      </c>
      <c r="G35" s="23">
        <v>0</v>
      </c>
      <c r="H35" s="23">
        <f t="shared" si="7"/>
        <v>111.20000000000002</v>
      </c>
      <c r="I35" s="27">
        <v>3.7</v>
      </c>
      <c r="J35" s="23">
        <v>0</v>
      </c>
      <c r="K35" s="23">
        <v>0</v>
      </c>
      <c r="S35" s="32"/>
      <c r="T35" s="41" t="s">
        <v>146</v>
      </c>
      <c r="U35" s="41">
        <f>COUNTIF(K10:K19,"&gt;=10")+COUNTIF(K21:K30,"&gt;=10")+COUNTIF(K32:K42,"&gt;=10")</f>
        <v>0</v>
      </c>
      <c r="V35" s="32"/>
    </row>
    <row r="36" spans="1:22" x14ac:dyDescent="0.4">
      <c r="A36" s="31">
        <v>25</v>
      </c>
      <c r="B36" s="30">
        <v>15.5</v>
      </c>
      <c r="C36" s="23">
        <v>10.4</v>
      </c>
      <c r="D36" s="23">
        <f t="shared" si="6"/>
        <v>5.0999999999999996</v>
      </c>
      <c r="E36" s="29">
        <v>12.8</v>
      </c>
      <c r="F36" s="28">
        <v>21</v>
      </c>
      <c r="G36" s="23">
        <v>0</v>
      </c>
      <c r="H36" s="23">
        <f t="shared" si="7"/>
        <v>111.20000000000002</v>
      </c>
      <c r="I36" s="27">
        <v>1.82</v>
      </c>
      <c r="J36" s="23">
        <v>0</v>
      </c>
      <c r="K36" s="23">
        <v>0</v>
      </c>
      <c r="S36" s="32"/>
      <c r="T36" s="40" t="s">
        <v>145</v>
      </c>
      <c r="U36" s="40">
        <f>COUNTIF(K10:K19,"&gt;=15")+COUNTIF(K21:K30,"&gt;=15")+COUNTIF(K32:K42,"&gt;=15")</f>
        <v>0</v>
      </c>
      <c r="V36" s="32"/>
    </row>
    <row r="37" spans="1:22" x14ac:dyDescent="0.4">
      <c r="A37" s="31">
        <v>26</v>
      </c>
      <c r="B37" s="30">
        <v>19.3</v>
      </c>
      <c r="C37" s="23">
        <v>10.3</v>
      </c>
      <c r="D37" s="23">
        <f t="shared" si="6"/>
        <v>9</v>
      </c>
      <c r="E37" s="29">
        <v>14.6</v>
      </c>
      <c r="F37" s="28">
        <v>34</v>
      </c>
      <c r="G37" s="23">
        <v>0</v>
      </c>
      <c r="H37" s="23">
        <f t="shared" si="7"/>
        <v>111.20000000000002</v>
      </c>
      <c r="I37" s="27">
        <v>8.1</v>
      </c>
      <c r="J37" s="23">
        <v>0</v>
      </c>
      <c r="K37" s="23">
        <v>0</v>
      </c>
      <c r="S37" s="32"/>
      <c r="T37" s="38" t="s">
        <v>143</v>
      </c>
      <c r="U37" s="38">
        <f>COUNTIF(K10:K19,"&gt;=20")+COUNTIF(K21:K30,"&gt;=20")+COUNTIF(K32:K42,"&gt;=20")</f>
        <v>0</v>
      </c>
      <c r="V37" s="32"/>
    </row>
    <row r="38" spans="1:22" x14ac:dyDescent="0.4">
      <c r="A38" s="31">
        <v>27</v>
      </c>
      <c r="B38" s="30">
        <v>16.7</v>
      </c>
      <c r="C38" s="23">
        <v>10</v>
      </c>
      <c r="D38" s="23">
        <f t="shared" si="6"/>
        <v>6.6999999999999993</v>
      </c>
      <c r="E38" s="29">
        <v>12.7</v>
      </c>
      <c r="F38" s="28">
        <v>27</v>
      </c>
      <c r="G38" s="23">
        <v>0</v>
      </c>
      <c r="H38" s="23">
        <f t="shared" si="7"/>
        <v>111.20000000000002</v>
      </c>
      <c r="I38" s="27">
        <v>6.28</v>
      </c>
      <c r="J38" s="23">
        <v>0</v>
      </c>
      <c r="K38" s="23">
        <v>0</v>
      </c>
      <c r="T38" s="37" t="s">
        <v>142</v>
      </c>
      <c r="U38" s="37">
        <f>COUNTIF(K10:K19,"&gt;=30")+COUNTIF(K21:K30,"&gt;=30")+COUNTIF(K32:K42,"&gt;=30")</f>
        <v>0</v>
      </c>
    </row>
    <row r="39" spans="1:22" x14ac:dyDescent="0.4">
      <c r="A39" s="31">
        <v>28</v>
      </c>
      <c r="B39" s="30">
        <v>16.3</v>
      </c>
      <c r="C39" s="23">
        <v>6.9</v>
      </c>
      <c r="D39" s="23">
        <f t="shared" si="6"/>
        <v>9.4</v>
      </c>
      <c r="E39" s="29">
        <v>11.3</v>
      </c>
      <c r="F39" s="28">
        <v>23</v>
      </c>
      <c r="G39" s="23">
        <v>0.4</v>
      </c>
      <c r="H39" s="23">
        <f t="shared" si="7"/>
        <v>111.60000000000002</v>
      </c>
      <c r="I39" s="27">
        <v>5.42</v>
      </c>
      <c r="J39" s="23">
        <v>0</v>
      </c>
      <c r="K39" s="23">
        <v>0</v>
      </c>
      <c r="T39" s="36" t="s">
        <v>141</v>
      </c>
      <c r="U39" s="36">
        <f>COUNTIF(K10:K19,"&gt;=40")+COUNTIF(K21:K30,"&gt;=40")+COUNTIF(K32:K42,"&gt;=40")</f>
        <v>0</v>
      </c>
    </row>
    <row r="40" spans="1:22" x14ac:dyDescent="0.4">
      <c r="A40" s="31">
        <v>29</v>
      </c>
      <c r="B40" s="30">
        <v>14.6</v>
      </c>
      <c r="C40" s="23">
        <v>8.3000000000000007</v>
      </c>
      <c r="D40" s="23">
        <f t="shared" si="6"/>
        <v>6.2999999999999989</v>
      </c>
      <c r="E40" s="29">
        <v>11.5</v>
      </c>
      <c r="F40" s="28">
        <v>21</v>
      </c>
      <c r="G40" s="23">
        <v>0.2</v>
      </c>
      <c r="H40" s="23">
        <f t="shared" si="7"/>
        <v>111.80000000000003</v>
      </c>
      <c r="I40" s="27">
        <v>1.85</v>
      </c>
      <c r="J40" s="23">
        <v>0</v>
      </c>
      <c r="K40" s="23">
        <v>0</v>
      </c>
      <c r="T40" s="35" t="s">
        <v>140</v>
      </c>
      <c r="U40" s="35">
        <f>COUNTIF(K10:K19,"&gt;=50")+COUNTIF(K21:K30,"&gt;=50")+COUNTIF(K32:K42,"&gt;=50")</f>
        <v>0</v>
      </c>
    </row>
    <row r="41" spans="1:22" x14ac:dyDescent="0.4">
      <c r="A41" s="31">
        <v>30</v>
      </c>
      <c r="B41" s="30">
        <v>16.5</v>
      </c>
      <c r="C41" s="23">
        <v>9.4</v>
      </c>
      <c r="D41" s="23">
        <f t="shared" si="6"/>
        <v>7.1</v>
      </c>
      <c r="E41" s="29">
        <v>12.7</v>
      </c>
      <c r="F41" s="28">
        <v>27</v>
      </c>
      <c r="G41" s="23">
        <v>0</v>
      </c>
      <c r="H41" s="23">
        <f t="shared" si="7"/>
        <v>111.80000000000003</v>
      </c>
      <c r="I41" s="27">
        <v>7.3</v>
      </c>
      <c r="J41" s="23">
        <v>0</v>
      </c>
      <c r="K41" s="23">
        <v>0</v>
      </c>
      <c r="T41" s="34" t="s">
        <v>139</v>
      </c>
      <c r="U41" s="34">
        <f>COUNTIF(K10:K19,"&gt;=75")+COUNTIF(K21:K30,"&gt;=75")+COUNTIF(K32:K42,"&gt;=75")</f>
        <v>0</v>
      </c>
    </row>
    <row r="42" spans="1:22" x14ac:dyDescent="0.4">
      <c r="A42" s="26">
        <v>31</v>
      </c>
      <c r="B42" s="25">
        <v>17</v>
      </c>
      <c r="C42" s="21">
        <v>9.1</v>
      </c>
      <c r="D42" s="21">
        <f t="shared" si="6"/>
        <v>7.9</v>
      </c>
      <c r="E42" s="21">
        <v>12.6</v>
      </c>
      <c r="F42" s="24">
        <v>31</v>
      </c>
      <c r="G42" s="21">
        <v>0</v>
      </c>
      <c r="H42" s="23">
        <f t="shared" si="7"/>
        <v>111.80000000000003</v>
      </c>
      <c r="I42" s="22">
        <v>4.18</v>
      </c>
      <c r="J42" s="21">
        <v>0</v>
      </c>
      <c r="K42" s="21">
        <v>0</v>
      </c>
      <c r="T42" s="33" t="s">
        <v>138</v>
      </c>
      <c r="U42" s="33">
        <f>COUNTIF(K10:K19,"&gt;=100")+COUNTIF(K21:K30,"&gt;=100")+COUNTIF(K32:K42,"&gt;=100")</f>
        <v>0</v>
      </c>
    </row>
    <row r="43" spans="1:22" x14ac:dyDescent="0.4">
      <c r="A43" s="20" t="s">
        <v>137</v>
      </c>
      <c r="B43" s="19">
        <f t="shared" ref="B43:G43" si="8">AVERAGE(B32:B42)</f>
        <v>17.59090909090909</v>
      </c>
      <c r="C43" s="17">
        <f t="shared" si="8"/>
        <v>10.436363636363637</v>
      </c>
      <c r="D43" s="17">
        <f t="shared" si="8"/>
        <v>7.1545454545454552</v>
      </c>
      <c r="E43" s="17">
        <f t="shared" si="8"/>
        <v>13.727272727272725</v>
      </c>
      <c r="F43" s="18">
        <f t="shared" si="8"/>
        <v>29.636363636363637</v>
      </c>
      <c r="G43" s="17">
        <f t="shared" si="8"/>
        <v>1.4363636363636363</v>
      </c>
      <c r="H43" s="17">
        <f>SUM(H42-H30)</f>
        <v>15.800000000000011</v>
      </c>
      <c r="I43" s="16">
        <f>AVERAGE(I32:I42)</f>
        <v>5.0945454545454547</v>
      </c>
      <c r="J43" s="15">
        <f>SUM(J32:J42)</f>
        <v>0</v>
      </c>
      <c r="K43" s="15">
        <f>AVERAGE(K32:K42)</f>
        <v>0</v>
      </c>
    </row>
    <row r="44" spans="1:22" x14ac:dyDescent="0.4">
      <c r="A44" s="14" t="s">
        <v>136</v>
      </c>
      <c r="B44" s="13">
        <f t="shared" ref="B44:G44" si="9">AVERAGE(B10:B19,B21:B30,B32:B42)</f>
        <v>19.677419354838712</v>
      </c>
      <c r="C44" s="9">
        <f t="shared" si="9"/>
        <v>11.561290322580644</v>
      </c>
      <c r="D44" s="9">
        <f t="shared" si="9"/>
        <v>8.1161290322580637</v>
      </c>
      <c r="E44" s="9">
        <f t="shared" si="9"/>
        <v>15.029032258064516</v>
      </c>
      <c r="F44" s="12">
        <f t="shared" si="9"/>
        <v>29.580645161290324</v>
      </c>
      <c r="G44" s="9">
        <f t="shared" si="9"/>
        <v>3.6064516129032267</v>
      </c>
      <c r="H44" s="11">
        <f>MAX(H10:H19,H21:H30,H32:H42)</f>
        <v>111.80000000000003</v>
      </c>
      <c r="I44" s="10">
        <f>AVERAGE(I10:I19,I21:I30,I32:I42)</f>
        <v>5.5264516129032248</v>
      </c>
      <c r="J44" s="9">
        <f>SUM(J10:J19,J21:J30,J32:J42)</f>
        <v>0</v>
      </c>
      <c r="K44" s="9">
        <f>AVERAGE(K10:K19,K21:K30,K32:K42)</f>
        <v>0</v>
      </c>
    </row>
  </sheetData>
  <protectedRanges>
    <protectedRange sqref="B21:C30 B32:C42 R16 V17 V8:V9 V12:V13 W1 AM1 BC1 A3 B10:C19 R7:R9 R14 E10:K19 E21:K30 E32:K42" name="Bereich1"/>
    <protectedRange sqref="L1" name="Bereich1_1"/>
    <protectedRange sqref="Q16" name="Bereich1_2"/>
  </protectedRanges>
  <mergeCells count="10">
    <mergeCell ref="B7:B9"/>
    <mergeCell ref="C7:C9"/>
    <mergeCell ref="A1:K1"/>
    <mergeCell ref="L1:V1"/>
    <mergeCell ref="W1:AL1"/>
    <mergeCell ref="AM1:BB1"/>
    <mergeCell ref="A3:K3"/>
    <mergeCell ref="B6:E6"/>
    <mergeCell ref="G6:H6"/>
    <mergeCell ref="J6:K6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4" manualBreakCount="4">
    <brk id="11" max="43" man="1"/>
    <brk id="22" max="43" man="1"/>
    <brk id="38" max="43" man="1"/>
    <brk id="53" max="43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164E-B532-4A5A-89AE-D2B08EF1C77B}">
  <dimension ref="A1:BB43"/>
  <sheetViews>
    <sheetView zoomScaleNormal="100" zoomScaleSheetLayoutView="100" workbookViewId="0">
      <selection activeCell="B10" sqref="B10"/>
    </sheetView>
  </sheetViews>
  <sheetFormatPr baseColWidth="10" defaultRowHeight="12.7" x14ac:dyDescent="0.4"/>
  <cols>
    <col min="1" max="1" width="9" bestFit="1" customWidth="1"/>
    <col min="2" max="3" width="6.5859375" bestFit="1" customWidth="1"/>
    <col min="4" max="4" width="6" customWidth="1"/>
    <col min="5" max="5" width="6.5859375" bestFit="1" customWidth="1"/>
    <col min="6" max="6" width="10.29296875" bestFit="1" customWidth="1"/>
    <col min="7" max="8" width="8.703125" customWidth="1"/>
    <col min="9" max="9" width="9.1171875" bestFit="1" customWidth="1"/>
    <col min="10" max="11" width="7.703125" customWidth="1"/>
    <col min="12" max="12" width="17.3515625" customWidth="1"/>
    <col min="13" max="13" width="4.05859375" customWidth="1"/>
    <col min="14" max="14" width="12.87890625" bestFit="1" customWidth="1"/>
    <col min="20" max="20" width="12.703125" customWidth="1"/>
  </cols>
  <sheetData>
    <row r="1" spans="1:54" ht="20" x14ac:dyDescent="0.6">
      <c r="A1" s="99" t="s">
        <v>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54" x14ac:dyDescent="0.4">
      <c r="A3" s="100" t="s">
        <v>212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54" x14ac:dyDescent="0.4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54" x14ac:dyDescent="0.4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54" x14ac:dyDescent="0.4">
      <c r="A6" s="29"/>
      <c r="B6" s="101" t="s">
        <v>204</v>
      </c>
      <c r="C6" s="97"/>
      <c r="D6" s="97"/>
      <c r="E6" s="98"/>
      <c r="F6" s="77" t="s">
        <v>203</v>
      </c>
      <c r="G6" s="97" t="s">
        <v>202</v>
      </c>
      <c r="H6" s="98"/>
      <c r="I6" s="77" t="s">
        <v>201</v>
      </c>
      <c r="J6" s="101" t="s">
        <v>200</v>
      </c>
      <c r="K6" s="97"/>
      <c r="L6" s="32"/>
      <c r="M6" s="32"/>
      <c r="N6" s="76" t="s">
        <v>54</v>
      </c>
      <c r="O6" s="75" t="s">
        <v>199</v>
      </c>
      <c r="P6" s="74" t="s">
        <v>198</v>
      </c>
      <c r="Q6" s="73" t="s">
        <v>55</v>
      </c>
      <c r="R6" s="72" t="s">
        <v>197</v>
      </c>
      <c r="S6" s="34"/>
      <c r="T6" s="45" t="s">
        <v>196</v>
      </c>
      <c r="U6" s="32"/>
      <c r="V6" s="72" t="s">
        <v>195</v>
      </c>
    </row>
    <row r="7" spans="1:54" x14ac:dyDescent="0.4">
      <c r="A7" s="29"/>
      <c r="B7" s="102" t="s">
        <v>181</v>
      </c>
      <c r="C7" s="104" t="s">
        <v>194</v>
      </c>
      <c r="D7" s="26"/>
      <c r="E7" s="31"/>
      <c r="F7" s="69"/>
      <c r="G7" s="26"/>
      <c r="H7" s="31"/>
      <c r="I7" s="69"/>
      <c r="J7" s="71" t="s">
        <v>193</v>
      </c>
      <c r="K7" s="26"/>
      <c r="L7" s="32" t="s">
        <v>192</v>
      </c>
      <c r="M7" s="89" t="s">
        <v>100</v>
      </c>
      <c r="N7" s="57">
        <f>AVERAGE(B10:B19,B21:B30,B32:B41)</f>
        <v>19.060000000000006</v>
      </c>
      <c r="O7" s="56">
        <f>MAX(B10:B19,B21:B30,B32:B41)</f>
        <v>24</v>
      </c>
      <c r="P7" s="36">
        <f>MIN(B10:B19,B21:B30,B32:B41)</f>
        <v>12</v>
      </c>
      <c r="Q7" s="32"/>
      <c r="R7" s="34">
        <v>0.86</v>
      </c>
      <c r="S7" s="63" t="s">
        <v>191</v>
      </c>
      <c r="T7" s="34" t="s">
        <v>190</v>
      </c>
      <c r="U7" s="34">
        <f>COUNTIF($C$10:$C$19,"&lt;=-10")+COUNTIF($C$21:$C$30,"&lt;=-10")+COUNTIF($C$32:$C$41,"&lt;=-10")</f>
        <v>0</v>
      </c>
      <c r="V7" s="32"/>
    </row>
    <row r="8" spans="1:54" x14ac:dyDescent="0.4">
      <c r="A8" s="29"/>
      <c r="B8" s="102"/>
      <c r="C8" s="104"/>
      <c r="D8" s="26" t="s">
        <v>189</v>
      </c>
      <c r="E8" s="31"/>
      <c r="F8" s="69" t="s">
        <v>188</v>
      </c>
      <c r="G8" s="26"/>
      <c r="H8" s="26"/>
      <c r="I8" s="69"/>
      <c r="J8" s="26" t="s">
        <v>187</v>
      </c>
      <c r="K8" s="26"/>
      <c r="L8" s="32" t="s">
        <v>186</v>
      </c>
      <c r="M8" s="89" t="s">
        <v>100</v>
      </c>
      <c r="N8" s="57">
        <f>AVERAGE(C10:C19,C21:C30,C32:C41)</f>
        <v>10.876666666666667</v>
      </c>
      <c r="O8" s="56">
        <f>MAX(C10:C19,C21:C30,C32:C41)</f>
        <v>15.6</v>
      </c>
      <c r="P8" s="36">
        <f>MIN(C10:C19,C21:C30,C32:C41)</f>
        <v>5.7</v>
      </c>
      <c r="Q8" s="32"/>
      <c r="R8" s="34">
        <v>2.68</v>
      </c>
      <c r="S8" s="63" t="s">
        <v>185</v>
      </c>
      <c r="T8" s="36" t="s">
        <v>184</v>
      </c>
      <c r="U8" s="36">
        <f>COUNTIF($B$10:$B$19,"&lt;=0")+COUNTIF($B$21:$B$30,"&lt;=0")+COUNTIF($B$32:$B$41,"&lt;=0")</f>
        <v>0</v>
      </c>
      <c r="V8" s="34">
        <v>0</v>
      </c>
    </row>
    <row r="9" spans="1:54" x14ac:dyDescent="0.4">
      <c r="A9" s="68"/>
      <c r="B9" s="103"/>
      <c r="C9" s="105"/>
      <c r="D9" s="65" t="s">
        <v>183</v>
      </c>
      <c r="E9" s="67" t="s">
        <v>182</v>
      </c>
      <c r="F9" s="66" t="s">
        <v>181</v>
      </c>
      <c r="G9" s="65" t="s">
        <v>180</v>
      </c>
      <c r="H9" s="65" t="s">
        <v>136</v>
      </c>
      <c r="I9" s="66" t="s">
        <v>180</v>
      </c>
      <c r="J9" s="65" t="s">
        <v>179</v>
      </c>
      <c r="K9" s="65" t="s">
        <v>178</v>
      </c>
      <c r="L9" s="32" t="s">
        <v>57</v>
      </c>
      <c r="M9" s="89" t="s">
        <v>100</v>
      </c>
      <c r="N9" s="57">
        <f>AVERAGE(E10:E19,E21:E30,E32:E41)</f>
        <v>14.626666666666669</v>
      </c>
      <c r="O9" s="56">
        <f>MAX(E10:E19,E21:E30,E32:E41)</f>
        <v>18.3</v>
      </c>
      <c r="P9" s="36">
        <f>MIN(E10:E19,E21:E30,E32:E41)</f>
        <v>9.3000000000000007</v>
      </c>
      <c r="Q9" s="32"/>
      <c r="R9" s="34">
        <v>1.73</v>
      </c>
      <c r="S9" s="63" t="s">
        <v>177</v>
      </c>
      <c r="T9" s="37" t="s">
        <v>176</v>
      </c>
      <c r="U9" s="37">
        <f>COUNTIF($C$10:$C$19,"&lt;0")+COUNTIF($C$21:$C$30,"&lt;0")+COUNTIF($C$32:$C$41,"&lt;0")</f>
        <v>0</v>
      </c>
      <c r="V9" s="34">
        <v>-0.1</v>
      </c>
    </row>
    <row r="10" spans="1:54" x14ac:dyDescent="0.4">
      <c r="A10" s="31">
        <v>1</v>
      </c>
      <c r="B10" s="30">
        <v>19.600000000000001</v>
      </c>
      <c r="C10" s="23">
        <v>9.6</v>
      </c>
      <c r="D10" s="23">
        <f t="shared" ref="D10:D19" si="0">SUM(B10-C10)</f>
        <v>10.000000000000002</v>
      </c>
      <c r="E10" s="29">
        <v>13.9</v>
      </c>
      <c r="F10" s="28">
        <v>23</v>
      </c>
      <c r="G10" s="23">
        <v>0</v>
      </c>
      <c r="H10" s="23">
        <f>G10</f>
        <v>0</v>
      </c>
      <c r="I10" s="27">
        <v>9.82</v>
      </c>
      <c r="J10" s="23">
        <v>0</v>
      </c>
      <c r="K10" s="23">
        <v>0</v>
      </c>
      <c r="L10" s="32"/>
      <c r="M10" s="32"/>
      <c r="N10" s="57"/>
      <c r="O10" s="56"/>
      <c r="P10" s="36"/>
      <c r="Q10" s="32"/>
      <c r="R10" s="32"/>
      <c r="S10" s="63" t="s">
        <v>175</v>
      </c>
      <c r="T10" s="44" t="s">
        <v>174</v>
      </c>
      <c r="U10" s="44">
        <f>COUNTIF($B$10:$B$19,"&lt;10")+COUNTIF($B$21:$B$30,"&lt;10")+COUNTIF($B$32:$B$41,"&lt;10")</f>
        <v>0</v>
      </c>
      <c r="V10" s="32"/>
    </row>
    <row r="11" spans="1:54" x14ac:dyDescent="0.4">
      <c r="A11" s="31">
        <v>2</v>
      </c>
      <c r="B11" s="30">
        <v>21.2</v>
      </c>
      <c r="C11" s="23">
        <v>9.1999999999999993</v>
      </c>
      <c r="D11" s="23">
        <f t="shared" si="0"/>
        <v>12</v>
      </c>
      <c r="E11" s="29">
        <v>15.3</v>
      </c>
      <c r="F11" s="28">
        <v>24</v>
      </c>
      <c r="G11" s="23">
        <v>0</v>
      </c>
      <c r="H11" s="23">
        <f t="shared" ref="H11:H19" si="1">H10+G11</f>
        <v>0</v>
      </c>
      <c r="I11" s="27">
        <v>9.27</v>
      </c>
      <c r="J11" s="23">
        <v>0</v>
      </c>
      <c r="K11" s="23">
        <v>0</v>
      </c>
      <c r="L11" s="32" t="s">
        <v>173</v>
      </c>
      <c r="M11" s="89" t="s">
        <v>102</v>
      </c>
      <c r="N11" s="57">
        <f>AVERAGE(F10:F19,F21:F30,F32:F41)</f>
        <v>22.333333333333332</v>
      </c>
      <c r="O11" s="56">
        <f>MAX(F10:F19,F21:F30,F32:F41)</f>
        <v>47</v>
      </c>
      <c r="P11" s="36">
        <f>MIN(F10:F19,F21:F30,F32:F41)</f>
        <v>8</v>
      </c>
      <c r="Q11" s="32"/>
      <c r="R11" s="32"/>
      <c r="S11" s="63" t="s">
        <v>172</v>
      </c>
      <c r="T11" s="46" t="s">
        <v>171</v>
      </c>
      <c r="U11" s="46">
        <f>COUNTIF($B$10:$B$19,"&gt;=20")+COUNTIF($B$21:$B$30,"&gt;=20")+COUNTIF($B$32:$B$41,"&gt;=20")</f>
        <v>13</v>
      </c>
      <c r="V11" s="32"/>
    </row>
    <row r="12" spans="1:54" x14ac:dyDescent="0.4">
      <c r="A12" s="31">
        <v>3</v>
      </c>
      <c r="B12" s="30">
        <v>21.8</v>
      </c>
      <c r="C12" s="23">
        <v>11.8</v>
      </c>
      <c r="D12" s="23">
        <f t="shared" si="0"/>
        <v>10</v>
      </c>
      <c r="E12" s="29">
        <v>16.5</v>
      </c>
      <c r="F12" s="28">
        <v>23</v>
      </c>
      <c r="G12" s="23">
        <v>0</v>
      </c>
      <c r="H12" s="23">
        <f t="shared" si="1"/>
        <v>0</v>
      </c>
      <c r="I12" s="27">
        <v>9.08</v>
      </c>
      <c r="J12" s="23">
        <v>0</v>
      </c>
      <c r="K12" s="23">
        <v>0</v>
      </c>
      <c r="L12" s="32"/>
      <c r="M12" s="32"/>
      <c r="N12" s="57"/>
      <c r="O12" s="56"/>
      <c r="P12" s="36"/>
      <c r="Q12" s="32"/>
      <c r="R12" s="32"/>
      <c r="S12" s="63" t="s">
        <v>170</v>
      </c>
      <c r="T12" s="48" t="s">
        <v>169</v>
      </c>
      <c r="U12" s="48">
        <f>COUNTIF($B$10:$B$19,"&gt;=25")+COUNTIF($B$21:$B$30,"&gt;=25")+COUNTIF($B$32:$B$41,"&gt;=25")</f>
        <v>0</v>
      </c>
      <c r="V12" s="34">
        <v>-1.4</v>
      </c>
    </row>
    <row r="13" spans="1:54" x14ac:dyDescent="0.4">
      <c r="A13" s="31">
        <v>4</v>
      </c>
      <c r="B13" s="30">
        <v>22.2</v>
      </c>
      <c r="C13" s="23">
        <v>12</v>
      </c>
      <c r="D13" s="23">
        <f t="shared" si="0"/>
        <v>10.199999999999999</v>
      </c>
      <c r="E13" s="29">
        <v>16.899999999999999</v>
      </c>
      <c r="F13" s="28">
        <v>26</v>
      </c>
      <c r="G13" s="23">
        <v>0</v>
      </c>
      <c r="H13" s="23">
        <f t="shared" si="1"/>
        <v>0</v>
      </c>
      <c r="I13" s="27">
        <v>9.48</v>
      </c>
      <c r="J13" s="23">
        <v>0</v>
      </c>
      <c r="K13" s="23">
        <v>0</v>
      </c>
      <c r="L13" s="32" t="s">
        <v>168</v>
      </c>
      <c r="M13" s="89" t="s">
        <v>104</v>
      </c>
      <c r="N13" s="57">
        <f>AVERAGE(G10:G19,G21:G30,G32:G41)</f>
        <v>2.4533333333333336</v>
      </c>
      <c r="O13" s="56">
        <f>MAX(G10:G19,G21:G30,G32:G41)</f>
        <v>34.799999999999997</v>
      </c>
      <c r="P13" s="36">
        <f>MIN(G10:G19,G21:G30,G32:G41)</f>
        <v>0</v>
      </c>
      <c r="Q13" s="32"/>
      <c r="S13" s="63" t="s">
        <v>167</v>
      </c>
      <c r="T13" s="55" t="s">
        <v>166</v>
      </c>
      <c r="U13" s="55">
        <f>COUNTIF($B$10:$B$19,"&gt;=30")+COUNTIF($B$21:$B$30,"&gt;=30")+COUNTIF($B$32:$B$41,"&gt;=30")</f>
        <v>0</v>
      </c>
      <c r="V13" s="34">
        <v>0</v>
      </c>
    </row>
    <row r="14" spans="1:54" x14ac:dyDescent="0.4">
      <c r="A14" s="31">
        <v>5</v>
      </c>
      <c r="B14" s="30">
        <v>22.4</v>
      </c>
      <c r="C14" s="23">
        <v>11.8</v>
      </c>
      <c r="D14" s="23">
        <f t="shared" si="0"/>
        <v>10.599999999999998</v>
      </c>
      <c r="E14" s="29">
        <v>17.3</v>
      </c>
      <c r="F14" s="28">
        <v>21</v>
      </c>
      <c r="G14" s="23">
        <v>0</v>
      </c>
      <c r="H14" s="23">
        <f t="shared" si="1"/>
        <v>0</v>
      </c>
      <c r="I14" s="27">
        <v>8.3800000000000008</v>
      </c>
      <c r="J14" s="23">
        <v>0</v>
      </c>
      <c r="K14" s="23">
        <v>0</v>
      </c>
      <c r="L14" s="32" t="s">
        <v>165</v>
      </c>
      <c r="M14" s="89" t="s">
        <v>104</v>
      </c>
      <c r="N14" s="64"/>
      <c r="O14" s="32"/>
      <c r="P14" s="32"/>
      <c r="Q14" s="40">
        <f>MAX(H10:H19,H21:H30,H32:H41)</f>
        <v>73.600000000000009</v>
      </c>
      <c r="R14" s="34">
        <v>-32.4</v>
      </c>
      <c r="S14" s="63" t="s">
        <v>164</v>
      </c>
      <c r="T14" s="59" t="s">
        <v>163</v>
      </c>
      <c r="U14" s="59">
        <f>COUNTIF($C$10:$C$19,"&gt;=20")+COUNTIF($C$21:$C$30,"&gt;=20")+COUNTIF($C$32:$C$41,"&gt;=20")</f>
        <v>0</v>
      </c>
      <c r="V14" s="60"/>
    </row>
    <row r="15" spans="1:54" x14ac:dyDescent="0.4">
      <c r="A15" s="31">
        <v>6</v>
      </c>
      <c r="B15" s="30">
        <v>22.5</v>
      </c>
      <c r="C15" s="23">
        <v>12.2</v>
      </c>
      <c r="D15" s="23">
        <f t="shared" si="0"/>
        <v>10.3</v>
      </c>
      <c r="E15" s="29">
        <v>17.600000000000001</v>
      </c>
      <c r="F15" s="28">
        <v>21</v>
      </c>
      <c r="G15" s="23">
        <v>0</v>
      </c>
      <c r="H15" s="23">
        <f t="shared" si="1"/>
        <v>0</v>
      </c>
      <c r="I15" s="27">
        <v>9.42</v>
      </c>
      <c r="J15" s="23">
        <v>0</v>
      </c>
      <c r="K15" s="23">
        <v>0</v>
      </c>
      <c r="L15" s="32"/>
      <c r="M15" s="32"/>
      <c r="N15" s="57"/>
      <c r="O15" s="56"/>
      <c r="P15" s="36"/>
      <c r="Q15" s="32"/>
      <c r="R15" s="32"/>
      <c r="S15" s="32"/>
      <c r="T15" s="32"/>
      <c r="U15" s="32"/>
      <c r="V15" s="60"/>
    </row>
    <row r="16" spans="1:54" x14ac:dyDescent="0.4">
      <c r="A16" s="31">
        <v>7</v>
      </c>
      <c r="B16" s="30">
        <v>22.6</v>
      </c>
      <c r="C16" s="23">
        <v>12.8</v>
      </c>
      <c r="D16" s="23">
        <f t="shared" si="0"/>
        <v>9.8000000000000007</v>
      </c>
      <c r="E16" s="29">
        <v>17.399999999999999</v>
      </c>
      <c r="F16" s="28">
        <v>16</v>
      </c>
      <c r="G16" s="23">
        <v>0</v>
      </c>
      <c r="H16" s="23">
        <f t="shared" si="1"/>
        <v>0</v>
      </c>
      <c r="I16" s="27">
        <v>8.93</v>
      </c>
      <c r="J16" s="23">
        <v>0</v>
      </c>
      <c r="K16" s="23">
        <v>0</v>
      </c>
      <c r="L16" s="32" t="s">
        <v>162</v>
      </c>
      <c r="M16" s="89" t="s">
        <v>105</v>
      </c>
      <c r="N16" s="57">
        <f>AVERAGE(I10:I19,I21:I30,I32:I41)</f>
        <v>6.08</v>
      </c>
      <c r="O16" s="62">
        <f>MAX(I10:I19,I21:I30,I32:I41)</f>
        <v>9.82</v>
      </c>
      <c r="P16" s="61">
        <f>MIN(I10:I19,I21:I30,I32:I41)</f>
        <v>0</v>
      </c>
      <c r="Q16" s="94">
        <v>182.38</v>
      </c>
      <c r="R16" s="34">
        <v>7.38</v>
      </c>
      <c r="S16" s="32"/>
      <c r="T16" s="88" t="s">
        <v>231</v>
      </c>
      <c r="V16" s="60"/>
    </row>
    <row r="17" spans="1:22" x14ac:dyDescent="0.4">
      <c r="A17" s="31">
        <v>8</v>
      </c>
      <c r="B17" s="30">
        <v>24</v>
      </c>
      <c r="C17" s="23">
        <v>13</v>
      </c>
      <c r="D17" s="23">
        <f t="shared" si="0"/>
        <v>11</v>
      </c>
      <c r="E17" s="29">
        <v>18.2</v>
      </c>
      <c r="F17" s="28">
        <v>16</v>
      </c>
      <c r="G17" s="23">
        <v>0</v>
      </c>
      <c r="H17" s="23">
        <f t="shared" si="1"/>
        <v>0</v>
      </c>
      <c r="I17" s="27">
        <v>9.58</v>
      </c>
      <c r="J17" s="23">
        <v>0</v>
      </c>
      <c r="K17" s="23">
        <v>0</v>
      </c>
      <c r="L17" s="32"/>
      <c r="M17" s="32"/>
      <c r="N17" s="57"/>
      <c r="O17" s="56"/>
      <c r="P17" s="36"/>
      <c r="Q17" s="32"/>
      <c r="R17" s="32"/>
      <c r="S17" s="32"/>
      <c r="T17" s="84" t="s">
        <v>223</v>
      </c>
      <c r="U17" s="84">
        <f>COUNTIF(G10:G19,"&gt;=1")+COUNTIF(G21:G30,"&gt;=1")+COUNTIF(G32:G41,"&gt;=1")</f>
        <v>9</v>
      </c>
      <c r="V17" s="34">
        <v>-1.5</v>
      </c>
    </row>
    <row r="18" spans="1:22" x14ac:dyDescent="0.4">
      <c r="A18" s="31">
        <v>9</v>
      </c>
      <c r="B18" s="30">
        <v>20.8</v>
      </c>
      <c r="C18" s="23">
        <v>13.8</v>
      </c>
      <c r="D18" s="23">
        <f t="shared" si="0"/>
        <v>7</v>
      </c>
      <c r="E18" s="29">
        <v>17</v>
      </c>
      <c r="F18" s="28">
        <v>19</v>
      </c>
      <c r="G18" s="23">
        <v>2.6</v>
      </c>
      <c r="H18" s="23">
        <f t="shared" si="1"/>
        <v>2.6</v>
      </c>
      <c r="I18" s="27">
        <v>3.88</v>
      </c>
      <c r="J18" s="23">
        <v>0</v>
      </c>
      <c r="K18" s="23">
        <v>0</v>
      </c>
      <c r="L18" s="32" t="s">
        <v>159</v>
      </c>
      <c r="M18" s="89" t="s">
        <v>108</v>
      </c>
      <c r="N18" s="57">
        <f>AVERAGE(J10:J19,J21:J30,J32:J41)</f>
        <v>0</v>
      </c>
      <c r="O18" s="56">
        <f>MAX(J10:J19,J21:J30,J32:J41)</f>
        <v>0</v>
      </c>
      <c r="P18" s="36">
        <f>MIN(J10:J19,J21:J30,J32:J41)</f>
        <v>0</v>
      </c>
      <c r="Q18" s="58">
        <f>SUM(J10:J19,J21:J30,J32:J41)</f>
        <v>0</v>
      </c>
      <c r="R18" s="32"/>
      <c r="S18" s="32"/>
      <c r="T18" s="85" t="s">
        <v>224</v>
      </c>
      <c r="U18" s="85">
        <f>COUNTIF(G10:G19,"&gt;=10")+COUNTIF(G21:G30,"&gt;=10")+COUNTIF(G32:G41,"&gt;=10")</f>
        <v>3</v>
      </c>
      <c r="V18" s="32"/>
    </row>
    <row r="19" spans="1:22" x14ac:dyDescent="0.4">
      <c r="A19" s="31">
        <v>10</v>
      </c>
      <c r="B19" s="30">
        <v>18.2</v>
      </c>
      <c r="C19" s="23">
        <v>12.9</v>
      </c>
      <c r="D19" s="23">
        <f t="shared" si="0"/>
        <v>5.2999999999999989</v>
      </c>
      <c r="E19" s="29">
        <v>14.9</v>
      </c>
      <c r="F19" s="28">
        <v>24</v>
      </c>
      <c r="G19" s="23">
        <v>2.4</v>
      </c>
      <c r="H19" s="23">
        <f t="shared" si="1"/>
        <v>5</v>
      </c>
      <c r="I19" s="27">
        <v>0.7</v>
      </c>
      <c r="J19" s="23">
        <v>0</v>
      </c>
      <c r="K19" s="23">
        <v>0</v>
      </c>
      <c r="L19" s="32" t="s">
        <v>157</v>
      </c>
      <c r="M19" s="89" t="s">
        <v>108</v>
      </c>
      <c r="N19" s="57">
        <f>AVERAGE(K10:K19,K21:K30,K32:K41)</f>
        <v>0</v>
      </c>
      <c r="O19" s="56">
        <f>MAX(K10:K19,K21:K30,K32:K41)</f>
        <v>0</v>
      </c>
      <c r="P19" s="36">
        <f>MIN(K10:K19,K21:K30,K32:K41)</f>
        <v>0</v>
      </c>
      <c r="S19" s="32"/>
      <c r="T19" s="86" t="s">
        <v>225</v>
      </c>
      <c r="U19" s="86">
        <f>COUNTIF(G10:G19,"&gt;=20")+COUNTIF(G21:G30,"&gt;=20")+COUNTIF(G32:G41,"&gt;=20")</f>
        <v>1</v>
      </c>
      <c r="V19" s="32"/>
    </row>
    <row r="20" spans="1:22" x14ac:dyDescent="0.4">
      <c r="A20" s="54" t="s">
        <v>155</v>
      </c>
      <c r="B20" s="53">
        <f t="shared" ref="B20:G20" si="2">AVERAGE(B10:B19)</f>
        <v>21.529999999999998</v>
      </c>
      <c r="C20" s="49">
        <f t="shared" si="2"/>
        <v>11.91</v>
      </c>
      <c r="D20" s="49">
        <f t="shared" si="2"/>
        <v>9.6199999999999992</v>
      </c>
      <c r="E20" s="52">
        <f t="shared" si="2"/>
        <v>16.5</v>
      </c>
      <c r="F20" s="51">
        <f t="shared" si="2"/>
        <v>21.3</v>
      </c>
      <c r="G20" s="49">
        <f t="shared" si="2"/>
        <v>0.5</v>
      </c>
      <c r="H20" s="49">
        <f>MAX(H10:H19)</f>
        <v>5</v>
      </c>
      <c r="I20" s="50">
        <f>AVERAGE(I10:I19)</f>
        <v>7.854000000000001</v>
      </c>
      <c r="J20" s="49">
        <f>SUM(J10:J19)</f>
        <v>0</v>
      </c>
      <c r="K20" s="49">
        <f>AVERAGE(K10:K19)</f>
        <v>0</v>
      </c>
      <c r="S20" s="32"/>
      <c r="T20" s="87" t="s">
        <v>226</v>
      </c>
      <c r="U20" s="87">
        <f>COUNTIF(G10:G19,"&gt;=50")+COUNTIF(G21:G30,"&gt;=50")+COUNTIF(G32:G41,"&gt;=50")</f>
        <v>0</v>
      </c>
      <c r="V20" s="32"/>
    </row>
    <row r="21" spans="1:22" x14ac:dyDescent="0.4">
      <c r="A21" s="31">
        <v>11</v>
      </c>
      <c r="B21" s="30">
        <v>20.100000000000001</v>
      </c>
      <c r="C21" s="23">
        <v>12.4</v>
      </c>
      <c r="D21" s="23">
        <f t="shared" ref="D21:D30" si="3">SUM(B21-C21)</f>
        <v>7.7000000000000011</v>
      </c>
      <c r="E21" s="29">
        <v>15.6</v>
      </c>
      <c r="F21" s="28">
        <v>21</v>
      </c>
      <c r="G21" s="23">
        <v>0.2</v>
      </c>
      <c r="H21" s="23">
        <f>H19+G21</f>
        <v>5.2</v>
      </c>
      <c r="I21" s="27">
        <v>6.05</v>
      </c>
      <c r="J21" s="23">
        <v>0</v>
      </c>
      <c r="K21" s="23">
        <v>0</v>
      </c>
      <c r="S21" s="32"/>
      <c r="V21" s="32"/>
    </row>
    <row r="22" spans="1:22" x14ac:dyDescent="0.4">
      <c r="A22" s="31">
        <v>12</v>
      </c>
      <c r="B22" s="30">
        <v>20.3</v>
      </c>
      <c r="C22" s="23">
        <v>11.8</v>
      </c>
      <c r="D22" s="23">
        <f t="shared" si="3"/>
        <v>8.5</v>
      </c>
      <c r="E22" s="29">
        <v>15.6</v>
      </c>
      <c r="F22" s="28">
        <v>16</v>
      </c>
      <c r="G22" s="23">
        <v>0</v>
      </c>
      <c r="H22" s="23">
        <f t="shared" ref="H22:H30" si="4">H21+G22</f>
        <v>5.2</v>
      </c>
      <c r="I22" s="27">
        <v>4.8</v>
      </c>
      <c r="J22" s="23">
        <v>0</v>
      </c>
      <c r="K22" s="23">
        <v>0</v>
      </c>
      <c r="S22" s="32"/>
      <c r="T22" s="45" t="s">
        <v>161</v>
      </c>
      <c r="U22" s="45"/>
      <c r="V22" s="32"/>
    </row>
    <row r="23" spans="1:22" x14ac:dyDescent="0.4">
      <c r="A23" s="31">
        <v>13</v>
      </c>
      <c r="B23" s="30">
        <v>22.3</v>
      </c>
      <c r="C23" s="23">
        <v>12.8</v>
      </c>
      <c r="D23" s="23">
        <f t="shared" si="3"/>
        <v>9.5</v>
      </c>
      <c r="E23" s="29">
        <v>17.3</v>
      </c>
      <c r="F23" s="28">
        <v>18</v>
      </c>
      <c r="G23" s="23">
        <v>0</v>
      </c>
      <c r="H23" s="23">
        <f t="shared" si="4"/>
        <v>5.2</v>
      </c>
      <c r="I23" s="27">
        <v>9.3000000000000007</v>
      </c>
      <c r="J23" s="23">
        <v>0</v>
      </c>
      <c r="K23" s="23">
        <v>0</v>
      </c>
      <c r="S23" s="32"/>
      <c r="T23" s="59" t="s">
        <v>160</v>
      </c>
      <c r="U23" s="59">
        <f>COUNTIF($F$10:$F$19,"&gt;=61.8")+COUNTIF($F$21:$F$30,"&gt;=61.8")+COUNTIF($F$32:$F$41,"&gt;=61.8")</f>
        <v>0</v>
      </c>
      <c r="V23" s="32"/>
    </row>
    <row r="24" spans="1:22" x14ac:dyDescent="0.4">
      <c r="A24" s="31">
        <v>14</v>
      </c>
      <c r="B24" s="30">
        <v>22.8</v>
      </c>
      <c r="C24" s="23">
        <v>14.6</v>
      </c>
      <c r="D24" s="23">
        <f t="shared" si="3"/>
        <v>8.2000000000000011</v>
      </c>
      <c r="E24" s="29">
        <v>18.3</v>
      </c>
      <c r="F24" s="28">
        <v>18</v>
      </c>
      <c r="G24" s="23">
        <v>0</v>
      </c>
      <c r="H24" s="23">
        <f t="shared" si="4"/>
        <v>5.2</v>
      </c>
      <c r="I24" s="27">
        <v>5.4</v>
      </c>
      <c r="J24" s="23">
        <v>0</v>
      </c>
      <c r="K24" s="23">
        <v>0</v>
      </c>
      <c r="S24" s="32"/>
      <c r="T24" s="56" t="s">
        <v>158</v>
      </c>
      <c r="U24" s="56">
        <f>COUNTIF($F$10:$F$19,"&gt;=49.9")+COUNTIF($F$21:$F$30,"&gt;=49.9")+COUNTIF($F$32:$F$41,"&gt;=49.9")-COUNTIF($F$10:$F$19,"&gt;61.7")-COUNTIF($F$21:$F$30,"&gt;61.7")-COUNTIF($F$32:$F$41,"&gt;61.7")</f>
        <v>0</v>
      </c>
      <c r="V24" s="32"/>
    </row>
    <row r="25" spans="1:22" x14ac:dyDescent="0.4">
      <c r="A25" s="31">
        <v>15</v>
      </c>
      <c r="B25" s="30">
        <v>19.3</v>
      </c>
      <c r="C25" s="23">
        <v>15.6</v>
      </c>
      <c r="D25" s="23">
        <f t="shared" si="3"/>
        <v>3.7000000000000011</v>
      </c>
      <c r="E25" s="29">
        <v>16.899999999999999</v>
      </c>
      <c r="F25" s="28">
        <v>18</v>
      </c>
      <c r="G25" s="23">
        <v>1.8</v>
      </c>
      <c r="H25" s="23">
        <f t="shared" si="4"/>
        <v>7</v>
      </c>
      <c r="I25" s="27">
        <v>0.88</v>
      </c>
      <c r="J25" s="23">
        <v>0</v>
      </c>
      <c r="K25" s="23">
        <v>0</v>
      </c>
      <c r="S25" s="32"/>
      <c r="T25" s="55" t="s">
        <v>156</v>
      </c>
      <c r="U25" s="55">
        <f>COUNTIF($F$10:$F$19,"&gt;=38.8")+COUNTIF($F$21:$F$30,"&gt;=38.8")+COUNTIF($F$32:$F$41,"&gt;=38.8")-COUNTIF($F$10:$F$19,"&gt;49.8")-COUNTIF($F$21:$F$30,"&gt;49.8")-COUNTIF($F$32:$F$41,"&gt;49.8")</f>
        <v>2</v>
      </c>
      <c r="V25" s="32"/>
    </row>
    <row r="26" spans="1:22" x14ac:dyDescent="0.4">
      <c r="A26" s="31">
        <v>16</v>
      </c>
      <c r="B26" s="30">
        <v>17.600000000000001</v>
      </c>
      <c r="C26" s="23">
        <v>13.6</v>
      </c>
      <c r="D26" s="23">
        <f t="shared" si="3"/>
        <v>4.0000000000000018</v>
      </c>
      <c r="E26" s="29">
        <v>15.1</v>
      </c>
      <c r="F26" s="28">
        <v>21</v>
      </c>
      <c r="G26" s="23">
        <v>12.4</v>
      </c>
      <c r="H26" s="23">
        <f t="shared" si="4"/>
        <v>19.399999999999999</v>
      </c>
      <c r="I26" s="27">
        <v>0.87</v>
      </c>
      <c r="J26" s="23">
        <v>0</v>
      </c>
      <c r="K26" s="23">
        <v>0</v>
      </c>
      <c r="S26" s="32"/>
      <c r="T26" s="48" t="s">
        <v>154</v>
      </c>
      <c r="U26" s="48">
        <f>COUNTIF($F$10:$F$19,"&gt;=28.6")+COUNTIF($F$21:$F$30,"&gt;=28.6")+COUNTIF($F$32:$F$41,"&gt;=28.6")-COUNTIF($F$10:$F$19,"&gt;38.7")-COUNTIF($F$21:$F$30,"&gt;38.7")-COUNTIF($F$32:$F$41,"&gt;38.7")</f>
        <v>1</v>
      </c>
      <c r="V26" s="32"/>
    </row>
    <row r="27" spans="1:22" x14ac:dyDescent="0.4">
      <c r="A27" s="31">
        <v>17</v>
      </c>
      <c r="B27" s="30">
        <v>18.2</v>
      </c>
      <c r="C27" s="23">
        <v>11.2</v>
      </c>
      <c r="D27" s="23">
        <f t="shared" si="3"/>
        <v>7</v>
      </c>
      <c r="E27" s="29">
        <v>14</v>
      </c>
      <c r="F27" s="28">
        <v>19</v>
      </c>
      <c r="G27" s="23">
        <v>0.6</v>
      </c>
      <c r="H27" s="23">
        <f t="shared" si="4"/>
        <v>20</v>
      </c>
      <c r="I27" s="27">
        <v>5.24</v>
      </c>
      <c r="J27" s="23">
        <v>0</v>
      </c>
      <c r="K27" s="23">
        <v>0</v>
      </c>
      <c r="S27" s="32"/>
      <c r="T27" s="47" t="s">
        <v>153</v>
      </c>
      <c r="U27" s="47">
        <f>COUNTIF($F$10:$F$19,"&gt;=19.5")+COUNTIF($F$21:$F$30,"&gt;=19.5")+COUNTIF($F$32:$F$41,"&gt;=19.5")-COUNTIF($F$10:$F$19,"&gt;28.5")-COUNTIF($F$21:$F$30,"&gt;28.5")-COUNTIF($F$32:$F$41,"&gt;28.5")</f>
        <v>16</v>
      </c>
      <c r="V27" s="32"/>
    </row>
    <row r="28" spans="1:22" x14ac:dyDescent="0.4">
      <c r="A28" s="31">
        <v>18</v>
      </c>
      <c r="B28" s="30">
        <v>18.600000000000001</v>
      </c>
      <c r="C28" s="23">
        <v>9.4</v>
      </c>
      <c r="D28" s="23">
        <f t="shared" si="3"/>
        <v>9.2000000000000011</v>
      </c>
      <c r="E28" s="29">
        <v>13.9</v>
      </c>
      <c r="F28" s="28">
        <v>21</v>
      </c>
      <c r="G28" s="23">
        <v>0.2</v>
      </c>
      <c r="H28" s="23">
        <f t="shared" si="4"/>
        <v>20.2</v>
      </c>
      <c r="I28" s="27">
        <v>6.38</v>
      </c>
      <c r="J28" s="23">
        <v>0</v>
      </c>
      <c r="K28" s="23">
        <v>0</v>
      </c>
      <c r="S28" s="32"/>
      <c r="T28" s="46" t="s">
        <v>152</v>
      </c>
      <c r="U28" s="46">
        <f>COUNTIF($F$10:$F$19,"&gt;=12")+COUNTIF($F$21:$F$30,"&gt;=12")+COUNTIF($F$32:$F$41,"&gt;=12")-COUNTIF($F$10:$F$19,"&gt;19.4")-COUNTIF($F$21:$F$30,"&gt;19.4")-COUNTIF($F$32:$F$41,"&gt;19.4")</f>
        <v>10</v>
      </c>
      <c r="V28" s="32"/>
    </row>
    <row r="29" spans="1:22" x14ac:dyDescent="0.4">
      <c r="A29" s="31">
        <v>19</v>
      </c>
      <c r="B29" s="30">
        <v>12.6</v>
      </c>
      <c r="C29" s="23">
        <v>7.9</v>
      </c>
      <c r="D29" s="23">
        <f t="shared" si="3"/>
        <v>4.6999999999999993</v>
      </c>
      <c r="E29" s="29">
        <v>9.8000000000000007</v>
      </c>
      <c r="F29" s="28">
        <v>39</v>
      </c>
      <c r="G29" s="23">
        <v>34.799999999999997</v>
      </c>
      <c r="H29" s="23">
        <f t="shared" si="4"/>
        <v>55</v>
      </c>
      <c r="I29" s="27">
        <v>0</v>
      </c>
      <c r="J29" s="23">
        <v>0</v>
      </c>
      <c r="K29" s="23">
        <v>0</v>
      </c>
      <c r="S29" s="32"/>
      <c r="T29" s="32" t="s">
        <v>151</v>
      </c>
      <c r="U29" s="32">
        <f>COUNTIF($F$10:$F$19,"&lt;=11.9")+COUNTIF($F$21:$F$30,"&lt;=11.9")+COUNTIF($F$32:$F$41,"&lt;=11.9")</f>
        <v>1</v>
      </c>
      <c r="V29" s="32"/>
    </row>
    <row r="30" spans="1:22" x14ac:dyDescent="0.4">
      <c r="A30" s="31">
        <v>20</v>
      </c>
      <c r="B30" s="30">
        <v>12</v>
      </c>
      <c r="C30" s="23">
        <v>8.3000000000000007</v>
      </c>
      <c r="D30" s="23">
        <f t="shared" si="3"/>
        <v>3.6999999999999993</v>
      </c>
      <c r="E30" s="29">
        <v>10</v>
      </c>
      <c r="F30" s="28">
        <v>8</v>
      </c>
      <c r="G30" s="23">
        <v>1.4</v>
      </c>
      <c r="H30" s="23">
        <f t="shared" si="4"/>
        <v>56.4</v>
      </c>
      <c r="I30" s="27">
        <v>0</v>
      </c>
      <c r="J30" s="23">
        <v>0</v>
      </c>
      <c r="K30" s="23">
        <v>0</v>
      </c>
      <c r="S30" s="32"/>
      <c r="T30" s="32"/>
      <c r="U30" s="32"/>
      <c r="V30" s="32"/>
    </row>
    <row r="31" spans="1:22" x14ac:dyDescent="0.4">
      <c r="A31" s="20" t="s">
        <v>144</v>
      </c>
      <c r="B31" s="19">
        <f t="shared" ref="B31:G31" si="5">AVERAGE(B21:B30)</f>
        <v>18.38</v>
      </c>
      <c r="C31" s="17">
        <f t="shared" si="5"/>
        <v>11.760000000000002</v>
      </c>
      <c r="D31" s="17">
        <f t="shared" si="5"/>
        <v>6.6200000000000019</v>
      </c>
      <c r="E31" s="39">
        <f t="shared" si="5"/>
        <v>14.65</v>
      </c>
      <c r="F31" s="18">
        <f t="shared" si="5"/>
        <v>19.899999999999999</v>
      </c>
      <c r="G31" s="17">
        <f t="shared" si="5"/>
        <v>5.14</v>
      </c>
      <c r="H31" s="17">
        <f>SUM(H30-H19)</f>
        <v>51.4</v>
      </c>
      <c r="I31" s="16">
        <f>AVERAGE(I21:I30)</f>
        <v>3.8920000000000003</v>
      </c>
      <c r="J31" s="17">
        <f>SUM(J21:J30)</f>
        <v>0</v>
      </c>
      <c r="K31" s="17">
        <f>AVERAGE(K21:K30)</f>
        <v>0</v>
      </c>
      <c r="S31" s="32"/>
      <c r="T31" s="45" t="s">
        <v>150</v>
      </c>
      <c r="U31" s="32"/>
      <c r="V31" s="32"/>
    </row>
    <row r="32" spans="1:22" x14ac:dyDescent="0.4">
      <c r="A32" s="31">
        <v>21</v>
      </c>
      <c r="B32" s="30">
        <v>15.8</v>
      </c>
      <c r="C32" s="23">
        <v>6.9</v>
      </c>
      <c r="D32" s="23">
        <f t="shared" ref="D32:D41" si="6">SUM(B32-C32)</f>
        <v>8.9</v>
      </c>
      <c r="E32" s="29">
        <v>10.8</v>
      </c>
      <c r="F32" s="28">
        <v>29</v>
      </c>
      <c r="G32" s="23">
        <v>0.2</v>
      </c>
      <c r="H32" s="23">
        <f>H30+G32</f>
        <v>56.6</v>
      </c>
      <c r="I32" s="27">
        <v>7.57</v>
      </c>
      <c r="J32" s="23">
        <v>0</v>
      </c>
      <c r="K32" s="23">
        <v>0</v>
      </c>
      <c r="S32" s="32"/>
      <c r="T32" s="44" t="s">
        <v>149</v>
      </c>
      <c r="U32" s="44">
        <f>COUNTIF(K10:K19,"&gt;0")+COUNTIF(K21:K30,"&gt;0")+COUNTIF(K32:K41,"&gt;0")</f>
        <v>0</v>
      </c>
      <c r="V32" s="32"/>
    </row>
    <row r="33" spans="1:22" x14ac:dyDescent="0.4">
      <c r="A33" s="31">
        <v>22</v>
      </c>
      <c r="B33" s="30">
        <v>15.3</v>
      </c>
      <c r="C33" s="23">
        <v>6.4</v>
      </c>
      <c r="D33" s="23">
        <f t="shared" si="6"/>
        <v>8.9</v>
      </c>
      <c r="E33" s="29">
        <v>10.6</v>
      </c>
      <c r="F33" s="28">
        <v>23</v>
      </c>
      <c r="G33" s="23">
        <v>0.2</v>
      </c>
      <c r="H33" s="23">
        <f t="shared" ref="H33:H41" si="7">H32+G33</f>
        <v>56.800000000000004</v>
      </c>
      <c r="I33" s="27">
        <v>8.77</v>
      </c>
      <c r="J33" s="23">
        <v>0</v>
      </c>
      <c r="K33" s="23">
        <v>0</v>
      </c>
      <c r="S33" s="32"/>
      <c r="T33" s="43" t="s">
        <v>148</v>
      </c>
      <c r="U33" s="43">
        <f>COUNTIF(K10:K19,"&gt;=1")+COUNTIF(K21:K30,"&gt;=1")+COUNTIF(K32:K41,"&gt;=1")</f>
        <v>0</v>
      </c>
      <c r="V33" s="32"/>
    </row>
    <row r="34" spans="1:22" x14ac:dyDescent="0.4">
      <c r="A34" s="31">
        <v>23</v>
      </c>
      <c r="B34" s="30">
        <v>18.899999999999999</v>
      </c>
      <c r="C34" s="23">
        <v>7.2</v>
      </c>
      <c r="D34" s="23">
        <f t="shared" si="6"/>
        <v>11.7</v>
      </c>
      <c r="E34" s="29">
        <v>12.6</v>
      </c>
      <c r="F34" s="28">
        <v>21</v>
      </c>
      <c r="G34" s="23">
        <v>0</v>
      </c>
      <c r="H34" s="23">
        <f t="shared" si="7"/>
        <v>56.800000000000004</v>
      </c>
      <c r="I34" s="27">
        <v>8.1999999999999993</v>
      </c>
      <c r="J34" s="23">
        <v>0</v>
      </c>
      <c r="K34" s="23">
        <v>0</v>
      </c>
      <c r="S34" s="32"/>
      <c r="T34" s="42" t="s">
        <v>147</v>
      </c>
      <c r="U34" s="42">
        <f>COUNTIF(K10:K19,"&gt;=5")+COUNTIF(K21:K30,"&gt;=5")+COUNTIF(K32:K41,"&gt;=5")</f>
        <v>0</v>
      </c>
      <c r="V34" s="32"/>
    </row>
    <row r="35" spans="1:22" x14ac:dyDescent="0.4">
      <c r="A35" s="31">
        <v>24</v>
      </c>
      <c r="B35" s="30">
        <v>19.899999999999999</v>
      </c>
      <c r="C35" s="23">
        <v>9.8000000000000007</v>
      </c>
      <c r="D35" s="23">
        <f t="shared" si="6"/>
        <v>10.099999999999998</v>
      </c>
      <c r="E35" s="29">
        <v>14.8</v>
      </c>
      <c r="F35" s="28">
        <v>28</v>
      </c>
      <c r="G35" s="23">
        <v>0</v>
      </c>
      <c r="H35" s="23">
        <f t="shared" si="7"/>
        <v>56.800000000000004</v>
      </c>
      <c r="I35" s="27">
        <v>8.82</v>
      </c>
      <c r="J35" s="23">
        <v>0</v>
      </c>
      <c r="K35" s="23">
        <v>0</v>
      </c>
      <c r="S35" s="32"/>
      <c r="T35" s="41" t="s">
        <v>146</v>
      </c>
      <c r="U35" s="41">
        <f>COUNTIF(K10:K19,"&gt;=10")+COUNTIF(K21:K30,"&gt;=10")+COUNTIF(K32:K41,"&gt;=10")</f>
        <v>0</v>
      </c>
      <c r="V35" s="32"/>
    </row>
    <row r="36" spans="1:22" x14ac:dyDescent="0.4">
      <c r="A36" s="31">
        <v>25</v>
      </c>
      <c r="B36" s="30">
        <v>22.1</v>
      </c>
      <c r="C36" s="23">
        <v>11.8</v>
      </c>
      <c r="D36" s="23">
        <f t="shared" si="6"/>
        <v>10.3</v>
      </c>
      <c r="E36" s="29">
        <v>16</v>
      </c>
      <c r="F36" s="28">
        <v>23</v>
      </c>
      <c r="G36" s="23">
        <v>10.8</v>
      </c>
      <c r="H36" s="23">
        <f t="shared" si="7"/>
        <v>67.600000000000009</v>
      </c>
      <c r="I36" s="27">
        <v>5.24</v>
      </c>
      <c r="J36" s="23">
        <v>0</v>
      </c>
      <c r="K36" s="23">
        <v>0</v>
      </c>
      <c r="S36" s="32"/>
      <c r="T36" s="40" t="s">
        <v>145</v>
      </c>
      <c r="U36" s="40">
        <f>COUNTIF(K10:K19,"&gt;=15")+COUNTIF(K21:K30,"&gt;=15")+COUNTIF(K32:K41,"&gt;=15")</f>
        <v>0</v>
      </c>
      <c r="V36" s="32"/>
    </row>
    <row r="37" spans="1:22" x14ac:dyDescent="0.4">
      <c r="A37" s="31">
        <v>26</v>
      </c>
      <c r="B37" s="30">
        <v>17.8</v>
      </c>
      <c r="C37" s="23">
        <v>12.2</v>
      </c>
      <c r="D37" s="23">
        <f t="shared" si="6"/>
        <v>5.6000000000000014</v>
      </c>
      <c r="E37" s="29">
        <v>14.3</v>
      </c>
      <c r="F37" s="28">
        <v>27</v>
      </c>
      <c r="G37" s="23">
        <v>4.2</v>
      </c>
      <c r="H37" s="23">
        <f t="shared" si="7"/>
        <v>71.800000000000011</v>
      </c>
      <c r="I37" s="27">
        <v>2.2200000000000002</v>
      </c>
      <c r="J37" s="23">
        <v>0</v>
      </c>
      <c r="K37" s="23">
        <v>0</v>
      </c>
      <c r="S37" s="32"/>
      <c r="T37" s="38" t="s">
        <v>143</v>
      </c>
      <c r="U37" s="38">
        <f>COUNTIF(K10:K19,"&gt;=20")+COUNTIF(K21:K30,"&gt;=20")+COUNTIF(K32:K41,"&gt;=20")</f>
        <v>0</v>
      </c>
      <c r="V37" s="32"/>
    </row>
    <row r="38" spans="1:22" x14ac:dyDescent="0.4">
      <c r="A38" s="31">
        <v>27</v>
      </c>
      <c r="B38" s="30">
        <v>18.3</v>
      </c>
      <c r="C38" s="23">
        <v>10.9</v>
      </c>
      <c r="D38" s="23">
        <f t="shared" si="6"/>
        <v>7.4</v>
      </c>
      <c r="E38" s="29">
        <v>14.4</v>
      </c>
      <c r="F38" s="28">
        <v>18</v>
      </c>
      <c r="G38" s="23">
        <v>0</v>
      </c>
      <c r="H38" s="23">
        <f t="shared" si="7"/>
        <v>71.800000000000011</v>
      </c>
      <c r="I38" s="27">
        <v>6.25</v>
      </c>
      <c r="J38" s="23">
        <v>0</v>
      </c>
      <c r="K38" s="23">
        <v>0</v>
      </c>
      <c r="T38" s="37" t="s">
        <v>142</v>
      </c>
      <c r="U38" s="37">
        <f>COUNTIF(K10:K19,"&gt;=30")+COUNTIF(K21:K30,"&gt;=30")+COUNTIF(K32:K41,"&gt;=30")</f>
        <v>0</v>
      </c>
    </row>
    <row r="39" spans="1:22" x14ac:dyDescent="0.4">
      <c r="A39" s="31">
        <v>28</v>
      </c>
      <c r="B39" s="30">
        <v>15.2</v>
      </c>
      <c r="C39" s="23">
        <v>10.3</v>
      </c>
      <c r="D39" s="23">
        <f t="shared" si="6"/>
        <v>4.8999999999999986</v>
      </c>
      <c r="E39" s="29">
        <v>12.8</v>
      </c>
      <c r="F39" s="28">
        <v>23</v>
      </c>
      <c r="G39" s="23">
        <v>0</v>
      </c>
      <c r="H39" s="23">
        <f t="shared" si="7"/>
        <v>71.800000000000011</v>
      </c>
      <c r="I39" s="27">
        <v>5.49</v>
      </c>
      <c r="J39" s="23">
        <v>0</v>
      </c>
      <c r="K39" s="23">
        <v>0</v>
      </c>
      <c r="T39" s="36" t="s">
        <v>141</v>
      </c>
      <c r="U39" s="36">
        <f>COUNTIF(K10:K19,"&gt;=40")+COUNTIF(K21:K30,"&gt;=40")+COUNTIF(K32:K41,"&gt;=40")</f>
        <v>0</v>
      </c>
    </row>
    <row r="40" spans="1:22" x14ac:dyDescent="0.4">
      <c r="A40" s="31">
        <v>29</v>
      </c>
      <c r="B40" s="30">
        <v>15.7</v>
      </c>
      <c r="C40" s="23">
        <v>8.4</v>
      </c>
      <c r="D40" s="23">
        <f t="shared" si="6"/>
        <v>7.2999999999999989</v>
      </c>
      <c r="E40" s="29">
        <v>11.7</v>
      </c>
      <c r="F40" s="28">
        <v>47</v>
      </c>
      <c r="G40" s="23">
        <v>1.6</v>
      </c>
      <c r="H40" s="23">
        <f t="shared" si="7"/>
        <v>73.400000000000006</v>
      </c>
      <c r="I40" s="27">
        <v>4.75</v>
      </c>
      <c r="J40" s="23">
        <v>0</v>
      </c>
      <c r="K40" s="23">
        <v>0</v>
      </c>
      <c r="T40" s="35" t="s">
        <v>140</v>
      </c>
      <c r="U40" s="35">
        <f>COUNTIF(K10:K19,"&gt;=50")+COUNTIF(K21:K30,"&gt;=50")+COUNTIF(K32:K41,"&gt;=50")</f>
        <v>0</v>
      </c>
    </row>
    <row r="41" spans="1:22" x14ac:dyDescent="0.4">
      <c r="A41" s="31">
        <v>30</v>
      </c>
      <c r="B41" s="30">
        <v>13.7</v>
      </c>
      <c r="C41" s="23">
        <v>5.7</v>
      </c>
      <c r="D41" s="23">
        <f t="shared" si="6"/>
        <v>7.9999999999999991</v>
      </c>
      <c r="E41" s="29">
        <v>9.3000000000000007</v>
      </c>
      <c r="F41" s="28">
        <v>19</v>
      </c>
      <c r="G41" s="23">
        <v>0.2</v>
      </c>
      <c r="H41" s="23">
        <f t="shared" si="7"/>
        <v>73.600000000000009</v>
      </c>
      <c r="I41" s="27">
        <v>7.63</v>
      </c>
      <c r="J41" s="23">
        <v>0</v>
      </c>
      <c r="K41" s="23">
        <v>0</v>
      </c>
      <c r="T41" s="34" t="s">
        <v>139</v>
      </c>
      <c r="U41" s="34">
        <f>COUNTIF(K10:K19,"&gt;=75")+COUNTIF(K21:K30,"&gt;=75")+COUNTIF(K32:K41,"&gt;=75")</f>
        <v>0</v>
      </c>
    </row>
    <row r="42" spans="1:22" x14ac:dyDescent="0.4">
      <c r="A42" s="20" t="s">
        <v>137</v>
      </c>
      <c r="B42" s="19">
        <f t="shared" ref="B42:G42" si="8">AVERAGE(B32:B41)</f>
        <v>17.269999999999996</v>
      </c>
      <c r="C42" s="17">
        <f t="shared" si="8"/>
        <v>8.9600000000000009</v>
      </c>
      <c r="D42" s="17">
        <f t="shared" si="8"/>
        <v>8.3099999999999987</v>
      </c>
      <c r="E42" s="39">
        <f t="shared" si="8"/>
        <v>12.73</v>
      </c>
      <c r="F42" s="18">
        <f t="shared" si="8"/>
        <v>25.8</v>
      </c>
      <c r="G42" s="17">
        <f t="shared" si="8"/>
        <v>1.7200000000000002</v>
      </c>
      <c r="H42" s="17">
        <f>SUM(H41-H30)</f>
        <v>17.20000000000001</v>
      </c>
      <c r="I42" s="16">
        <f>AVERAGE(I32:I41)</f>
        <v>6.4939999999999998</v>
      </c>
      <c r="J42" s="17">
        <f>SUM(J32:J41)</f>
        <v>0</v>
      </c>
      <c r="K42" s="17">
        <f>AVERAGE(K32:K41)</f>
        <v>0</v>
      </c>
      <c r="T42" s="33" t="s">
        <v>138</v>
      </c>
      <c r="U42" s="33">
        <f>COUNTIF(K10:K19,"&gt;=100")+COUNTIF(K21:K30,"&gt;=100")+COUNTIF(K32:K41,"&gt;=100")</f>
        <v>0</v>
      </c>
    </row>
    <row r="43" spans="1:22" x14ac:dyDescent="0.4">
      <c r="A43" s="14" t="s">
        <v>136</v>
      </c>
      <c r="B43" s="13">
        <f t="shared" ref="B43:G43" si="9">AVERAGE(B10:B19,B21:B30,B32:B41)</f>
        <v>19.060000000000006</v>
      </c>
      <c r="C43" s="9">
        <f t="shared" si="9"/>
        <v>10.876666666666667</v>
      </c>
      <c r="D43" s="9">
        <f t="shared" si="9"/>
        <v>8.1833333333333318</v>
      </c>
      <c r="E43" s="80">
        <f t="shared" si="9"/>
        <v>14.626666666666669</v>
      </c>
      <c r="F43" s="12">
        <f t="shared" si="9"/>
        <v>22.333333333333332</v>
      </c>
      <c r="G43" s="9">
        <f t="shared" si="9"/>
        <v>2.4533333333333336</v>
      </c>
      <c r="H43" s="11">
        <f>MAX(H10:H19,H21:H30,H32:H41)</f>
        <v>73.600000000000009</v>
      </c>
      <c r="I43" s="79">
        <f>AVERAGE(I10:I19,I21:I30,I32:I41)</f>
        <v>6.08</v>
      </c>
      <c r="J43" s="9">
        <f>SUM(J10:J19,J21:J30,J32:J41)</f>
        <v>0</v>
      </c>
      <c r="K43" s="9">
        <f>AVERAGE(K10:K19,K21:K30,K32:K41)</f>
        <v>0</v>
      </c>
    </row>
  </sheetData>
  <protectedRanges>
    <protectedRange sqref="B21:C30 B32:C41 A3 R16 V17 R7:R9 V8:V9 V12:V13 W1 AM1 BC1 B10:C19 E32:G41 E10:G19 E21:G30 R14 I10:K19 I21:K30 I32:K41" name="Bereich1"/>
    <protectedRange sqref="H10:H19 H21:H30 H32:H41" name="Bereich1_1"/>
    <protectedRange sqref="L1" name="Bereich1_2"/>
    <protectedRange sqref="Q16" name="Bereich1_3"/>
  </protectedRanges>
  <mergeCells count="10">
    <mergeCell ref="B7:B9"/>
    <mergeCell ref="C7:C9"/>
    <mergeCell ref="A1:K1"/>
    <mergeCell ref="L1:V1"/>
    <mergeCell ref="W1:AL1"/>
    <mergeCell ref="AM1:BB1"/>
    <mergeCell ref="A3:K3"/>
    <mergeCell ref="B6:E6"/>
    <mergeCell ref="G6:H6"/>
    <mergeCell ref="J6:K6"/>
  </mergeCells>
  <printOptions horizontalCentered="1" verticalCentered="1"/>
  <pageMargins left="0.39370078740157483" right="0.39370078740157483" top="0.78740157480314965" bottom="0.78740157480314965" header="0" footer="0"/>
  <pageSetup paperSize="9" scale="74" orientation="landscape" horizontalDpi="4294967294" verticalDpi="200" r:id="rId1"/>
  <headerFooter alignWithMargins="0"/>
  <colBreaks count="3" manualBreakCount="3">
    <brk id="11" max="42" man="1"/>
    <brk id="22" max="42" man="1"/>
    <brk id="38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13</vt:i4>
      </vt:variant>
    </vt:vector>
  </HeadingPairs>
  <TitlesOfParts>
    <vt:vector size="28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Überblick</vt:lpstr>
      <vt:lpstr>Abweichungen</vt:lpstr>
      <vt:lpstr>Erklärung</vt:lpstr>
      <vt:lpstr>Apr!Druckbereich</vt:lpstr>
      <vt:lpstr>Aug!Druckbereich</vt:lpstr>
      <vt:lpstr>Dez!Druckbereich</vt:lpstr>
      <vt:lpstr>Feb!Druckbereich</vt:lpstr>
      <vt:lpstr>Jan!Druckbereich</vt:lpstr>
      <vt:lpstr>Jul!Druckbereich</vt:lpstr>
      <vt:lpstr>Jun!Druckbereich</vt:lpstr>
      <vt:lpstr>Mai!Druckbereich</vt:lpstr>
      <vt:lpstr>Mrz!Druckbereich</vt:lpstr>
      <vt:lpstr>Nov!Druckbereich</vt:lpstr>
      <vt:lpstr>Okt!Druckbereich</vt:lpstr>
      <vt:lpstr>Sep!Druckbereich</vt:lpstr>
      <vt:lpstr>Überblick!Druckbereich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silas</dc:creator>
  <cp:lastModifiedBy>Silas Walther</cp:lastModifiedBy>
  <cp:lastPrinted>2005-06-03T15:33:58Z</cp:lastPrinted>
  <dcterms:created xsi:type="dcterms:W3CDTF">2005-05-25T16:15:43Z</dcterms:created>
  <dcterms:modified xsi:type="dcterms:W3CDTF">2022-01-09T18:51:11Z</dcterms:modified>
</cp:coreProperties>
</file>